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грудень" sheetId="1" r:id="rId1"/>
    <sheet name="листопад" sheetId="2" r:id="rId2"/>
    <sheet name="жовтень" sheetId="3" r:id="rId3"/>
    <sheet name="вересень" sheetId="4" r:id="rId4"/>
    <sheet name="серпень" sheetId="5" r:id="rId5"/>
    <sheet name="липень" sheetId="6" r:id="rId6"/>
    <sheet name="червень" sheetId="7" r:id="rId7"/>
    <sheet name="травень" sheetId="8" r:id="rId8"/>
    <sheet name="квітень" sheetId="9" r:id="rId9"/>
    <sheet name="березень" sheetId="10" r:id="rId10"/>
    <sheet name="лютий" sheetId="11" r:id="rId11"/>
    <sheet name="січень-2" sheetId="12" r:id="rId12"/>
    <sheet name="січень " sheetId="13" r:id="rId13"/>
  </sheets>
  <externalReferences>
    <externalReference r:id="rId16"/>
    <externalReference r:id="rId17"/>
  </externalReferences>
  <definedNames>
    <definedName name="_xlnm.Print_Area" localSheetId="0">'грудень'!$A$1:$O$84</definedName>
    <definedName name="_xlnm.Print_Area" localSheetId="1">'листопад'!$A$1:$R$83</definedName>
  </definedNames>
  <calcPr fullCalcOnLoad="1"/>
</workbook>
</file>

<file path=xl/sharedStrings.xml><?xml version="1.0" encoding="utf-8"?>
<sst xmlns="http://schemas.openxmlformats.org/spreadsheetml/2006/main" count="1839" uniqueCount="342">
  <si>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</si>
  <si>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</si>
  <si>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</si>
  <si>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</si>
  <si>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</si>
  <si>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</si>
  <si>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</si>
  <si>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</si>
  <si>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</si>
  <si>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</si>
  <si>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</si>
  <si>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</si>
  <si>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</si>
  <si>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</si>
  <si>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</si>
  <si>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</si>
  <si>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</si>
  <si>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</si>
  <si>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</si>
  <si>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</si>
  <si>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</si>
  <si>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</si>
  <si>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</si>
  <si>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</si>
  <si>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</si>
  <si>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</si>
  <si>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</si>
  <si>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</si>
  <si>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</si>
  <si>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</si>
  <si>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</si>
  <si>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</si>
  <si>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</si>
  <si>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</si>
  <si>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</si>
  <si>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</si>
  <si>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</si>
  <si>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</si>
  <si>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</si>
  <si>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</si>
  <si>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</si>
  <si>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</si>
  <si>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</si>
  <si>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</si>
  <si>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</si>
  <si>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</si>
  <si>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</si>
  <si>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</si>
  <si>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</si>
  <si>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</si>
  <si>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</si>
  <si>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</si>
  <si>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</si>
  <si>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</si>
  <si>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</si>
  <si>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</si>
  <si>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</si>
  <si>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</si>
  <si>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</si>
  <si>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</si>
  <si>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</si>
  <si>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</si>
  <si>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</si>
  <si>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</si>
  <si>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</si>
  <si>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</si>
  <si>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</si>
  <si>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</si>
  <si>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</si>
  <si>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</si>
  <si>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</si>
  <si>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</si>
  <si>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</si>
  <si>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</si>
  <si>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</si>
  <si>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</si>
  <si>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</si>
  <si>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</si>
  <si>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</si>
  <si>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</si>
  <si>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</si>
  <si>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</si>
  <si>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</si>
  <si>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</si>
  <si>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</si>
  <si>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</si>
  <si>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</si>
  <si>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</si>
  <si>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</si>
  <si>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</si>
  <si>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</si>
  <si>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</si>
  <si>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</si>
  <si>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</si>
  <si>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</si>
  <si>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</si>
  <si>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</si>
  <si>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</si>
  <si>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</si>
  <si>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</si>
  <si>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</si>
  <si>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</si>
  <si>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</si>
  <si>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</si>
  <si>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</si>
  <si>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</si>
  <si>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</si>
  <si>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</si>
  <si>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</si>
  <si>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</si>
  <si>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</si>
  <si>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</si>
  <si>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</si>
  <si>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</si>
  <si>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</si>
  <si>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</si>
  <si>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</si>
  <si>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</si>
  <si>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</si>
  <si>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</si>
  <si>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</si>
  <si>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</si>
  <si>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</si>
  <si>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</si>
  <si>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</si>
  <si>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</si>
  <si>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</si>
  <si>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</si>
  <si>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</si>
  <si>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</si>
  <si>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</si>
  <si>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</si>
  <si>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</si>
  <si>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</si>
  <si>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</si>
  <si>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</si>
  <si>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</si>
  <si>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</si>
  <si>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</si>
  <si>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</si>
  <si>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</si>
  <si>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</si>
  <si>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</si>
  <si>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</si>
  <si>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</si>
  <si>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</si>
  <si>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</si>
  <si>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</si>
  <si>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</si>
  <si>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</si>
  <si>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</si>
  <si>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</si>
  <si>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</si>
  <si>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</si>
  <si>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</si>
  <si>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</si>
  <si>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</si>
  <si>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</si>
  <si>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</si>
  <si>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</si>
  <si>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</si>
  <si>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</si>
  <si>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</si>
  <si>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</si>
  <si>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</si>
  <si>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</si>
  <si>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</si>
  <si>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</si>
  <si>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</si>
  <si>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</si>
  <si>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</si>
  <si>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</si>
  <si>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</si>
  <si>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</si>
  <si>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</si>
  <si>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</si>
  <si>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</si>
  <si>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</si>
  <si>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</si>
  <si>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</si>
  <si>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</si>
  <si>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</si>
  <si>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</si>
  <si>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</si>
  <si>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</si>
  <si>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</si>
  <si>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</si>
  <si>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</si>
  <si>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</si>
  <si>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</si>
  <si>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</si>
  <si>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</si>
  <si>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</si>
  <si>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</si>
  <si>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</si>
  <si>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</si>
  <si>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</si>
  <si>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</si>
  <si>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</si>
  <si>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</si>
  <si>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</si>
  <si>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</si>
  <si>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</si>
  <si>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</si>
  <si>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</si>
  <si>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</si>
  <si>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</si>
  <si>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</si>
  <si>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</si>
  <si>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</si>
  <si>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</si>
  <si>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</si>
  <si>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</si>
  <si>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</si>
  <si>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</si>
  <si>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</si>
  <si>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</si>
  <si>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</si>
  <si>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</si>
  <si>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</si>
  <si>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</si>
  <si>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</si>
  <si>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</si>
  <si>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</si>
  <si>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</si>
  <si>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</si>
  <si>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</si>
  <si>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</si>
  <si>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</si>
  <si>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</si>
  <si>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</si>
  <si>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</si>
  <si>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</si>
  <si>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</si>
  <si>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</si>
  <si>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</si>
  <si>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</si>
  <si>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</si>
  <si>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</si>
  <si>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</si>
  <si>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</si>
  <si>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</si>
  <si>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</si>
  <si>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</si>
  <si>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</si>
  <si>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</si>
  <si>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</si>
  <si>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</si>
  <si>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</si>
  <si>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</si>
  <si>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</si>
  <si>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</si>
  <si>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</si>
  <si>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</si>
  <si>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</si>
  <si>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</si>
  <si>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</si>
  <si>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</si>
  <si>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</si>
  <si>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</si>
  <si>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</si>
  <si>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</si>
  <si>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</si>
  <si>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</si>
  <si>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</si>
  <si>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</si>
  <si>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</si>
  <si>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</si>
  <si>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</si>
  <si>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</si>
  <si>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</si>
  <si>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</si>
  <si>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</si>
  <si>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</si>
  <si>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</si>
  <si>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</si>
  <si>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</si>
  <si>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</si>
  <si>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</si>
  <si>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</si>
  <si>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</si>
  <si>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</si>
  <si>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</si>
  <si>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</si>
  <si>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</si>
  <si>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</si>
  <si>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</si>
  <si>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</si>
  <si>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</si>
  <si>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</si>
  <si>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</si>
  <si>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</si>
  <si>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</si>
  <si>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</si>
  <si>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</si>
  <si>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</si>
  <si>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</si>
  <si>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31.08.15 </t>
    </r>
    <r>
      <rPr>
        <b/>
        <sz val="10"/>
        <rFont val="Times New Roman"/>
        <family val="1"/>
      </rPr>
      <t>включно</t>
    </r>
  </si>
  <si>
    <t>Уточнений план  на січень-вересень</t>
  </si>
  <si>
    <t>Необхідно ще отримати до плану на січень-вересень</t>
  </si>
  <si>
    <t>% виконання до плану на січень-вересень</t>
  </si>
  <si>
    <t>% виконання до плану на січень-серпень</t>
  </si>
  <si>
    <r>
      <t>Динаміка  фактичних надходжень січень-вересень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</si>
  <si>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</si>
  <si>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</si>
  <si>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</si>
  <si>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30.09.15 </t>
    </r>
    <r>
      <rPr>
        <b/>
        <sz val="10"/>
        <rFont val="Times New Roman"/>
        <family val="1"/>
      </rPr>
      <t>включно</t>
    </r>
  </si>
  <si>
    <t>Уточнений план  на січень-жовтень</t>
  </si>
  <si>
    <t>Необхідно ще отримати до плану на січень-жовтень</t>
  </si>
  <si>
    <t>% виконання до плану на січень-жовтень</t>
  </si>
  <si>
    <r>
      <t>Динаміка  фактичних надходжень січень-жовтень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</si>
  <si>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</si>
  <si>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</si>
  <si>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</si>
  <si>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30.10.15 </t>
    </r>
    <r>
      <rPr>
        <b/>
        <sz val="10"/>
        <rFont val="Times New Roman"/>
        <family val="1"/>
      </rPr>
      <t>включно</t>
    </r>
  </si>
  <si>
    <t>Уточнений план  на січень-листопад</t>
  </si>
  <si>
    <t>Необхідно ще отримати до плану на січень-листопад</t>
  </si>
  <si>
    <t>% виконання до плану на січень-листопад</t>
  </si>
  <si>
    <r>
      <t>Динаміка  фактичних надходжень січень-листопад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</si>
  <si>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листопад</t>
    </r>
    <r>
      <rPr>
        <b/>
        <sz val="11"/>
        <rFont val="Times New Roman"/>
        <family val="1"/>
      </rPr>
      <t xml:space="preserve">  місяць  </t>
    </r>
  </si>
  <si>
    <t>Виконано у листопаді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</si>
  <si>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</si>
  <si>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</si>
  <si>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30.11.15 </t>
    </r>
    <r>
      <rPr>
        <b/>
        <sz val="10"/>
        <rFont val="Times New Roman"/>
        <family val="1"/>
      </rPr>
      <t>включно</t>
    </r>
  </si>
  <si>
    <r>
      <t>Динаміка  фактичних надходжень 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</si>
  <si>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Уточнений план  на 2015 рік</t>
  </si>
  <si>
    <t>% виконання до плану на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</si>
  <si>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</si>
  <si>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t>Виконано у грудні</t>
  </si>
  <si>
    <t>Податок на прибуток підприємств та фінансових установ комунальної власності</t>
  </si>
  <si>
    <t xml:space="preserve"> + -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</si>
  <si>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</si>
  <si>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r>
      <t xml:space="preserve">Кошти від реалізації </t>
    </r>
    <r>
      <rPr>
        <u val="single"/>
        <sz val="12"/>
        <rFont val="Times New Roman"/>
        <family val="1"/>
      </rPr>
      <t>безхазяйного майна</t>
    </r>
    <r>
      <rPr>
        <sz val="12"/>
        <rFont val="Times New Roman"/>
        <family val="1"/>
      </rPr>
      <t xml:space="preserve">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  </r>
  </si>
  <si>
    <r>
      <t>Кошти, отримані від надання учасниками</t>
    </r>
    <r>
      <rPr>
        <u val="single"/>
        <sz val="12"/>
        <rFont val="Times New Roman"/>
        <family val="1"/>
      </rPr>
      <t xml:space="preserve"> процедури закупівель</t>
    </r>
    <r>
      <rPr>
        <sz val="12"/>
        <rFont val="Times New Roman"/>
        <family val="1"/>
      </rPr>
      <t xml:space="preserve"> забезпечення їх пропозиції конкурсних торгів, які не підлягають поверненню цим учасникам, у випадках, передбачених Законом України `Про здійснення державних закупівель`</t>
    </r>
  </si>
  <si>
    <r>
      <t xml:space="preserve">Рентна плата за спеціальне використання </t>
    </r>
    <r>
      <rPr>
        <u val="single"/>
        <sz val="12"/>
        <rFont val="Times New Roman"/>
        <family val="1"/>
      </rPr>
      <t xml:space="preserve">лісових </t>
    </r>
    <r>
      <rPr>
        <sz val="12"/>
        <rFont val="Times New Roman"/>
        <family val="1"/>
      </rPr>
      <t>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</si>
  <si>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</si>
  <si>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Кошти від відчуження майна, що перебуває в комунальній власності  </t>
  </si>
  <si>
    <t>Кошти від продажу землі</t>
  </si>
  <si>
    <t>Інші надходження  до фондів охорони навколишнього природного середовища</t>
  </si>
  <si>
    <t>Відсотки за користування довгостроковим кредитом (молодіжний кредит)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</si>
  <si>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</si>
  <si>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31.12.15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</si>
</sst>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31" fillId="0" borderId="0">
      <alignment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30" fillId="0" borderId="0">
      <alignment/>
      <protection/>
    </xf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8" fillId="0" borderId="0" xfId="54" applyFont="1" applyFill="1" applyProtection="1">
      <alignment/>
      <protection/>
    </xf>
    <xf numFmtId="0" fontId="8" fillId="0" borderId="0" xfId="54" applyFont="1" applyProtection="1">
      <alignment/>
      <protection/>
    </xf>
    <xf numFmtId="0" fontId="10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80" fontId="8" fillId="0" borderId="11" xfId="54" applyNumberFormat="1" applyFont="1" applyBorder="1" applyAlignment="1" applyProtection="1">
      <alignment horizontal="center" vertical="center" wrapText="1"/>
      <protection/>
    </xf>
    <xf numFmtId="180" fontId="8" fillId="0" borderId="12" xfId="54" applyNumberFormat="1" applyFont="1" applyBorder="1" applyAlignment="1" applyProtection="1">
      <alignment horizontal="center" vertical="center" wrapText="1"/>
      <protection/>
    </xf>
    <xf numFmtId="180" fontId="8" fillId="33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54" applyNumberFormat="1" applyFont="1" applyBorder="1" applyAlignment="1" applyProtection="1">
      <alignment horizontal="center" vertical="center" wrapText="1"/>
      <protection/>
    </xf>
    <xf numFmtId="0" fontId="7" fillId="0" borderId="10" xfId="54" applyFont="1" applyBorder="1" applyAlignment="1" applyProtection="1">
      <alignment horizontal="center" vertical="center" wrapText="1"/>
      <protection/>
    </xf>
    <xf numFmtId="0" fontId="12" fillId="0" borderId="10" xfId="54" applyFont="1" applyBorder="1" applyAlignment="1" applyProtection="1">
      <alignment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8" fillId="0" borderId="10" xfId="54" applyFont="1" applyBorder="1" applyAlignment="1" applyProtection="1">
      <alignment vertical="center" wrapText="1"/>
      <protection/>
    </xf>
    <xf numFmtId="0" fontId="8" fillId="0" borderId="10" xfId="54" applyFont="1" applyBorder="1" applyAlignment="1" applyProtection="1">
      <alignment vertical="center" wrapText="1"/>
      <protection/>
    </xf>
    <xf numFmtId="182" fontId="8" fillId="33" borderId="10" xfId="0" applyNumberFormat="1" applyFont="1" applyFill="1" applyBorder="1" applyAlignment="1" applyProtection="1">
      <alignment horizontal="right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7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10" fillId="33" borderId="13" xfId="0" applyNumberFormat="1" applyFont="1" applyFill="1" applyBorder="1" applyAlignment="1" applyProtection="1">
      <alignment horizontal="center" vertical="center"/>
      <protection/>
    </xf>
    <xf numFmtId="49" fontId="17" fillId="0" borderId="10" xfId="54" applyNumberFormat="1" applyFont="1" applyBorder="1" applyAlignment="1" applyProtection="1">
      <alignment horizontal="center" vertical="center" wrapText="1"/>
      <protection/>
    </xf>
    <xf numFmtId="0" fontId="7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horizontal="center"/>
      <protection/>
    </xf>
    <xf numFmtId="0" fontId="8" fillId="0" borderId="10" xfId="54" applyFont="1" applyFill="1" applyBorder="1" applyAlignment="1" applyProtection="1">
      <alignment wrapText="1"/>
      <protection/>
    </xf>
    <xf numFmtId="182" fontId="7" fillId="34" borderId="10" xfId="54" applyNumberFormat="1" applyFont="1" applyFill="1" applyBorder="1" applyProtection="1">
      <alignment/>
      <protection/>
    </xf>
    <xf numFmtId="182" fontId="8" fillId="0" borderId="10" xfId="54" applyNumberFormat="1" applyFont="1" applyFill="1" applyBorder="1" applyProtection="1">
      <alignment/>
      <protection/>
    </xf>
    <xf numFmtId="183" fontId="8" fillId="0" borderId="0" xfId="54" applyNumberFormat="1" applyFont="1" applyProtection="1">
      <alignment/>
      <protection/>
    </xf>
    <xf numFmtId="0" fontId="8" fillId="0" borderId="14" xfId="0" applyFont="1" applyBorder="1" applyAlignment="1">
      <alignment wrapText="1"/>
    </xf>
    <xf numFmtId="182" fontId="7" fillId="34" borderId="10" xfId="0" applyNumberFormat="1" applyFont="1" applyFill="1" applyBorder="1" applyAlignment="1" applyProtection="1">
      <alignment/>
      <protection/>
    </xf>
    <xf numFmtId="0" fontId="7" fillId="0" borderId="10" xfId="54" applyFont="1" applyFill="1" applyBorder="1" applyAlignment="1" applyProtection="1">
      <alignment wrapText="1"/>
      <protection/>
    </xf>
    <xf numFmtId="182" fontId="7" fillId="0" borderId="10" xfId="54" applyNumberFormat="1" applyFont="1" applyFill="1" applyBorder="1" applyProtection="1">
      <alignment/>
      <protection/>
    </xf>
    <xf numFmtId="182" fontId="8" fillId="0" borderId="0" xfId="54" applyNumberFormat="1" applyFont="1" applyProtection="1">
      <alignment/>
      <protection/>
    </xf>
    <xf numFmtId="182" fontId="8" fillId="0" borderId="10" xfId="0" applyNumberFormat="1" applyFont="1" applyFill="1" applyBorder="1" applyAlignment="1" applyProtection="1">
      <alignment horizontal="right"/>
      <protection locked="0"/>
    </xf>
    <xf numFmtId="182" fontId="8" fillId="0" borderId="10" xfId="0" applyNumberFormat="1" applyFont="1" applyFill="1" applyBorder="1" applyAlignment="1" applyProtection="1">
      <alignment horizontal="right"/>
      <protection/>
    </xf>
    <xf numFmtId="0" fontId="18" fillId="0" borderId="10" xfId="54" applyFont="1" applyFill="1" applyBorder="1" applyAlignment="1" applyProtection="1">
      <alignment wrapText="1"/>
      <protection/>
    </xf>
    <xf numFmtId="0" fontId="20" fillId="0" borderId="10" xfId="54" applyFont="1" applyBorder="1" applyAlignment="1" applyProtection="1">
      <alignment vertical="center" wrapText="1"/>
      <protection/>
    </xf>
    <xf numFmtId="0" fontId="19" fillId="0" borderId="10" xfId="54" applyFont="1" applyBorder="1" applyAlignment="1" applyProtection="1">
      <alignment vertical="center" wrapText="1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wrapText="1"/>
    </xf>
    <xf numFmtId="0" fontId="19" fillId="0" borderId="0" xfId="54" applyFont="1" applyProtection="1">
      <alignment/>
      <protection/>
    </xf>
    <xf numFmtId="182" fontId="8" fillId="0" borderId="10" xfId="0" applyNumberFormat="1" applyFont="1" applyFill="1" applyBorder="1" applyAlignment="1" applyProtection="1">
      <alignment horizontal="right"/>
      <protection/>
    </xf>
    <xf numFmtId="182" fontId="7" fillId="34" borderId="10" xfId="0" applyNumberFormat="1" applyFont="1" applyFill="1" applyBorder="1" applyAlignment="1" applyProtection="1">
      <alignment horizontal="right"/>
      <protection/>
    </xf>
    <xf numFmtId="182" fontId="7" fillId="34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/>
      <protection/>
    </xf>
    <xf numFmtId="182" fontId="8" fillId="0" borderId="10" xfId="0" applyNumberFormat="1" applyFont="1" applyFill="1" applyBorder="1" applyAlignment="1" applyProtection="1">
      <alignment/>
      <protection/>
    </xf>
    <xf numFmtId="0" fontId="8" fillId="0" borderId="10" xfId="54" applyFont="1" applyFill="1" applyBorder="1" applyAlignment="1" applyProtection="1">
      <alignment horizontal="left" wrapText="1"/>
      <protection/>
    </xf>
    <xf numFmtId="182" fontId="8" fillId="34" borderId="10" xfId="0" applyNumberFormat="1" applyFont="1" applyFill="1" applyBorder="1" applyAlignment="1" applyProtection="1">
      <alignment/>
      <protection/>
    </xf>
    <xf numFmtId="182" fontId="8" fillId="0" borderId="10" xfId="0" applyNumberFormat="1" applyFont="1" applyBorder="1" applyAlignment="1" applyProtection="1">
      <alignment/>
      <protection/>
    </xf>
    <xf numFmtId="182" fontId="13" fillId="33" borderId="10" xfId="0" applyNumberFormat="1" applyFont="1" applyFill="1" applyBorder="1" applyAlignment="1" applyProtection="1">
      <alignment horizontal="right" wrapText="1"/>
      <protection/>
    </xf>
    <xf numFmtId="182" fontId="13" fillId="33" borderId="10" xfId="0" applyNumberFormat="1" applyFont="1" applyFill="1" applyBorder="1" applyAlignment="1" applyProtection="1">
      <alignment horizontal="right" wrapText="1"/>
      <protection locked="0"/>
    </xf>
    <xf numFmtId="182" fontId="8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10" fillId="0" borderId="10" xfId="54" applyFont="1" applyBorder="1" applyAlignment="1" applyProtection="1">
      <alignment vertical="center"/>
      <protection/>
    </xf>
    <xf numFmtId="0" fontId="4" fillId="0" borderId="10" xfId="54" applyFont="1" applyBorder="1" applyAlignment="1" applyProtection="1">
      <alignment vertical="center"/>
      <protection/>
    </xf>
    <xf numFmtId="0" fontId="8" fillId="0" borderId="10" xfId="54" applyFont="1" applyBorder="1" applyAlignment="1" applyProtection="1">
      <alignment horizontal="left" vertical="center" wrapText="1"/>
      <protection/>
    </xf>
    <xf numFmtId="0" fontId="12" fillId="0" borderId="10" xfId="54" applyFont="1" applyBorder="1" applyAlignment="1" applyProtection="1">
      <alignment horizontal="right" vertical="center" wrapText="1"/>
      <protection/>
    </xf>
    <xf numFmtId="180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8" fillId="0" borderId="14" xfId="54" applyFont="1" applyBorder="1" applyAlignment="1" applyProtection="1">
      <alignment horizontal="left" vertical="center" wrapText="1"/>
      <protection/>
    </xf>
    <xf numFmtId="0" fontId="22" fillId="0" borderId="10" xfId="54" applyFont="1" applyBorder="1" applyAlignment="1" applyProtection="1">
      <alignment horizontal="right" vertical="center" wrapText="1"/>
      <protection/>
    </xf>
    <xf numFmtId="0" fontId="8" fillId="0" borderId="0" xfId="54" applyFont="1" applyAlignment="1" applyProtection="1">
      <alignment horizontal="left"/>
      <protection/>
    </xf>
    <xf numFmtId="0" fontId="8" fillId="0" borderId="0" xfId="54" applyFont="1" applyAlignment="1" applyProtection="1">
      <alignment horizontal="left" wrapText="1"/>
      <protection/>
    </xf>
    <xf numFmtId="0" fontId="8" fillId="0" borderId="0" xfId="54" applyFont="1" applyAlignment="1" applyProtection="1">
      <alignment wrapText="1"/>
      <protection/>
    </xf>
    <xf numFmtId="0" fontId="8" fillId="0" borderId="10" xfId="54" applyFont="1" applyBorder="1" applyProtection="1">
      <alignment/>
      <protection/>
    </xf>
    <xf numFmtId="182" fontId="18" fillId="0" borderId="10" xfId="0" applyNumberFormat="1" applyFont="1" applyFill="1" applyBorder="1" applyAlignment="1" applyProtection="1">
      <alignment/>
      <protection/>
    </xf>
    <xf numFmtId="49" fontId="24" fillId="0" borderId="10" xfId="0" applyNumberFormat="1" applyFont="1" applyFill="1" applyBorder="1" applyAlignment="1" applyProtection="1">
      <alignment horizontal="center" vertical="center" wrapText="1"/>
      <protection/>
    </xf>
    <xf numFmtId="49" fontId="26" fillId="0" borderId="10" xfId="0" applyNumberFormat="1" applyFont="1" applyFill="1" applyBorder="1" applyAlignment="1" applyProtection="1">
      <alignment horizontal="center" vertical="center" wrapText="1"/>
      <protection/>
    </xf>
    <xf numFmtId="182" fontId="27" fillId="0" borderId="10" xfId="0" applyNumberFormat="1" applyFont="1" applyFill="1" applyBorder="1" applyAlignment="1" applyProtection="1">
      <alignment horizontal="right"/>
      <protection/>
    </xf>
    <xf numFmtId="182" fontId="27" fillId="0" borderId="10" xfId="0" applyNumberFormat="1" applyFont="1" applyFill="1" applyBorder="1" applyAlignment="1" applyProtection="1">
      <alignment/>
      <protection/>
    </xf>
    <xf numFmtId="182" fontId="28" fillId="0" borderId="10" xfId="0" applyNumberFormat="1" applyFont="1" applyFill="1" applyBorder="1" applyAlignment="1" applyProtection="1">
      <alignment/>
      <protection/>
    </xf>
    <xf numFmtId="49" fontId="9" fillId="0" borderId="10" xfId="54" applyNumberFormat="1" applyFont="1" applyBorder="1" applyAlignment="1" applyProtection="1">
      <alignment horizontal="center" vertical="center" wrapText="1"/>
      <protection/>
    </xf>
    <xf numFmtId="1" fontId="29" fillId="33" borderId="10" xfId="0" applyNumberFormat="1" applyFont="1" applyFill="1" applyBorder="1" applyAlignment="1" applyProtection="1">
      <alignment/>
      <protection/>
    </xf>
    <xf numFmtId="0" fontId="29" fillId="0" borderId="10" xfId="54" applyFont="1" applyBorder="1" applyAlignment="1" applyProtection="1">
      <alignment vertical="center"/>
      <protection/>
    </xf>
    <xf numFmtId="0" fontId="11" fillId="0" borderId="10" xfId="54" applyFont="1" applyBorder="1" applyAlignment="1" applyProtection="1">
      <alignment vertical="center"/>
      <protection/>
    </xf>
    <xf numFmtId="1" fontId="29" fillId="34" borderId="10" xfId="0" applyNumberFormat="1" applyFont="1" applyFill="1" applyBorder="1" applyAlignment="1" applyProtection="1">
      <alignment/>
      <protection/>
    </xf>
    <xf numFmtId="1" fontId="29" fillId="0" borderId="10" xfId="0" applyNumberFormat="1" applyFont="1" applyFill="1" applyBorder="1" applyAlignment="1" applyProtection="1">
      <alignment/>
      <protection/>
    </xf>
    <xf numFmtId="0" fontId="11" fillId="0" borderId="10" xfId="54" applyFont="1" applyFill="1" applyBorder="1" applyAlignment="1" applyProtection="1">
      <alignment/>
      <protection/>
    </xf>
    <xf numFmtId="0" fontId="29" fillId="0" borderId="10" xfId="54" applyFont="1" applyFill="1" applyBorder="1" applyAlignment="1" applyProtection="1">
      <alignment/>
      <protection/>
    </xf>
    <xf numFmtId="0" fontId="11" fillId="34" borderId="10" xfId="54" applyFont="1" applyFill="1" applyBorder="1" applyProtection="1">
      <alignment/>
      <protection/>
    </xf>
    <xf numFmtId="0" fontId="11" fillId="0" borderId="0" xfId="54" applyFont="1" applyProtection="1">
      <alignment/>
      <protection/>
    </xf>
    <xf numFmtId="182" fontId="8" fillId="0" borderId="0" xfId="54" applyNumberFormat="1" applyFont="1" applyFill="1" applyBorder="1" applyProtection="1">
      <alignment/>
      <protection/>
    </xf>
    <xf numFmtId="0" fontId="8" fillId="0" borderId="0" xfId="54" applyFont="1" applyBorder="1" applyProtection="1">
      <alignment/>
      <protection/>
    </xf>
    <xf numFmtId="0" fontId="4" fillId="0" borderId="10" xfId="54" applyFont="1" applyBorder="1" applyAlignment="1" applyProtection="1">
      <alignment horizontal="right" vertical="center" wrapText="1"/>
      <protection/>
    </xf>
    <xf numFmtId="49" fontId="7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0" applyFont="1" applyFill="1" applyBorder="1" applyAlignment="1">
      <alignment wrapText="1"/>
    </xf>
    <xf numFmtId="0" fontId="4" fillId="0" borderId="10" xfId="54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 vertical="top"/>
    </xf>
    <xf numFmtId="0" fontId="4" fillId="0" borderId="15" xfId="0" applyFont="1" applyBorder="1" applyAlignment="1">
      <alignment/>
    </xf>
    <xf numFmtId="0" fontId="8" fillId="0" borderId="0" xfId="54" applyFont="1" applyAlignment="1" applyProtection="1">
      <alignment horizont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8" fillId="0" borderId="10" xfId="54" applyNumberFormat="1" applyFont="1" applyBorder="1" applyAlignment="1" applyProtection="1">
      <alignment horizontal="right"/>
      <protection/>
    </xf>
    <xf numFmtId="4" fontId="8" fillId="0" borderId="0" xfId="54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0" xfId="54" applyNumberFormat="1" applyFont="1" applyBorder="1" applyAlignment="1" applyProtection="1">
      <alignment horizontal="right"/>
      <protection/>
    </xf>
    <xf numFmtId="4" fontId="8" fillId="0" borderId="10" xfId="54" applyNumberFormat="1" applyFont="1" applyFill="1" applyBorder="1" applyAlignment="1" applyProtection="1">
      <alignment horizontal="right"/>
      <protection/>
    </xf>
    <xf numFmtId="4" fontId="7" fillId="0" borderId="10" xfId="54" applyNumberFormat="1" applyFont="1" applyFill="1" applyBorder="1" applyProtection="1">
      <alignment/>
      <protection/>
    </xf>
    <xf numFmtId="182" fontId="27" fillId="0" borderId="10" xfId="0" applyNumberFormat="1" applyFont="1" applyFill="1" applyBorder="1" applyAlignment="1" applyProtection="1">
      <alignment/>
      <protection/>
    </xf>
    <xf numFmtId="182" fontId="33" fillId="0" borderId="0" xfId="0" applyNumberFormat="1" applyFont="1" applyFill="1" applyBorder="1" applyAlignment="1">
      <alignment horizontal="center"/>
    </xf>
    <xf numFmtId="14" fontId="8" fillId="0" borderId="0" xfId="54" applyNumberFormat="1" applyFont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0" fontId="4" fillId="0" borderId="15" xfId="0" applyFont="1" applyBorder="1" applyAlignment="1" applyProtection="1">
      <alignment horizontal="center" vertical="center" wrapText="1"/>
      <protection/>
    </xf>
    <xf numFmtId="0" fontId="18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4" fillId="0" borderId="0" xfId="54" applyFont="1" applyAlignment="1" applyProtection="1">
      <alignment horizontal="center"/>
      <protection/>
    </xf>
    <xf numFmtId="191" fontId="7" fillId="0" borderId="0" xfId="54" applyNumberFormat="1" applyFont="1" applyAlignment="1" applyProtection="1">
      <alignment horizontal="center"/>
      <protection/>
    </xf>
    <xf numFmtId="191" fontId="7" fillId="0" borderId="0" xfId="54" applyNumberFormat="1" applyFont="1" applyAlignment="1" applyProtection="1">
      <alignment horizontal="right"/>
      <protection/>
    </xf>
    <xf numFmtId="191" fontId="8" fillId="0" borderId="0" xfId="54" applyNumberFormat="1" applyFont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7" fillId="0" borderId="10" xfId="54" applyFont="1" applyBorder="1" applyAlignment="1" applyProtection="1">
      <alignment horizontal="center"/>
      <protection/>
    </xf>
    <xf numFmtId="191" fontId="17" fillId="0" borderId="10" xfId="54" applyNumberFormat="1" applyFont="1" applyBorder="1" applyAlignment="1" applyProtection="1">
      <alignment horizontal="center" vertical="center" wrapText="1"/>
      <protection/>
    </xf>
    <xf numFmtId="191" fontId="7" fillId="34" borderId="10" xfId="0" applyNumberFormat="1" applyFont="1" applyFill="1" applyBorder="1" applyAlignment="1" applyProtection="1">
      <alignment/>
      <protection/>
    </xf>
    <xf numFmtId="191" fontId="8" fillId="0" borderId="10" xfId="0" applyNumberFormat="1" applyFont="1" applyBorder="1" applyAlignment="1" applyProtection="1">
      <alignment/>
      <protection/>
    </xf>
    <xf numFmtId="191" fontId="7" fillId="34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8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82" fontId="18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0" fontId="37" fillId="0" borderId="10" xfId="54" applyFont="1" applyBorder="1" applyAlignment="1" applyProtection="1">
      <alignment vertical="center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 horizontal="right"/>
      <protection locked="0"/>
    </xf>
    <xf numFmtId="182" fontId="22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91" fontId="20" fillId="0" borderId="10" xfId="0" applyNumberFormat="1" applyFont="1" applyBorder="1" applyAlignment="1" applyProtection="1">
      <alignment/>
      <protection/>
    </xf>
    <xf numFmtId="191" fontId="22" fillId="0" borderId="10" xfId="0" applyNumberFormat="1" applyFont="1" applyBorder="1" applyAlignment="1" applyProtection="1">
      <alignment/>
      <protection/>
    </xf>
    <xf numFmtId="1" fontId="9" fillId="0" borderId="10" xfId="54" applyNumberFormat="1" applyFont="1" applyBorder="1" applyAlignment="1" applyProtection="1">
      <alignment horizontal="center" vertical="center" wrapText="1"/>
      <protection/>
    </xf>
    <xf numFmtId="182" fontId="8" fillId="35" borderId="10" xfId="0" applyNumberFormat="1" applyFont="1" applyFill="1" applyBorder="1" applyAlignment="1" applyProtection="1">
      <alignment horizontal="right"/>
      <protection locked="0"/>
    </xf>
    <xf numFmtId="182" fontId="22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54" applyNumberFormat="1" applyFont="1" applyFill="1" applyBorder="1" applyProtection="1">
      <alignment/>
      <protection/>
    </xf>
    <xf numFmtId="182" fontId="8" fillId="35" borderId="10" xfId="54" applyNumberFormat="1" applyFont="1" applyFill="1" applyBorder="1" applyProtection="1">
      <alignment/>
      <protection/>
    </xf>
    <xf numFmtId="182" fontId="27" fillId="35" borderId="10" xfId="0" applyNumberFormat="1" applyFont="1" applyFill="1" applyBorder="1" applyAlignment="1" applyProtection="1">
      <alignment horizontal="right"/>
      <protection/>
    </xf>
    <xf numFmtId="182" fontId="7" fillId="35" borderId="10" xfId="54" applyNumberFormat="1" applyFont="1" applyFill="1" applyBorder="1" applyProtection="1">
      <alignment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9" fillId="35" borderId="10" xfId="54" applyNumberFormat="1" applyFont="1" applyFill="1" applyBorder="1" applyAlignment="1" applyProtection="1">
      <alignment horizontal="center" vertical="center" wrapText="1"/>
      <protection/>
    </xf>
    <xf numFmtId="182" fontId="8" fillId="35" borderId="10" xfId="0" applyNumberFormat="1" applyFont="1" applyFill="1" applyBorder="1" applyAlignment="1" applyProtection="1">
      <alignment horizontal="right"/>
      <protection/>
    </xf>
    <xf numFmtId="182" fontId="19" fillId="35" borderId="10" xfId="0" applyNumberFormat="1" applyFont="1" applyFill="1" applyBorder="1" applyAlignment="1" applyProtection="1">
      <alignment horizontal="right"/>
      <protection/>
    </xf>
    <xf numFmtId="182" fontId="13" fillId="35" borderId="10" xfId="0" applyNumberFormat="1" applyFont="1" applyFill="1" applyBorder="1" applyAlignment="1" applyProtection="1">
      <alignment horizontal="right" wrapText="1"/>
      <protection/>
    </xf>
    <xf numFmtId="182" fontId="13" fillId="35" borderId="10" xfId="0" applyNumberFormat="1" applyFont="1" applyFill="1" applyBorder="1" applyAlignment="1" applyProtection="1">
      <alignment horizontal="right" wrapText="1"/>
      <protection locked="0"/>
    </xf>
    <xf numFmtId="182" fontId="8" fillId="0" borderId="0" xfId="54" applyNumberFormat="1" applyFont="1" applyFill="1" applyProtection="1">
      <alignment/>
      <protection/>
    </xf>
    <xf numFmtId="182" fontId="8" fillId="0" borderId="14" xfId="54" applyNumberFormat="1" applyFont="1" applyFill="1" applyBorder="1" applyAlignment="1" applyProtection="1">
      <alignment horizontal="center"/>
      <protection/>
    </xf>
    <xf numFmtId="2" fontId="19" fillId="0" borderId="0" xfId="54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82" fontId="27" fillId="0" borderId="10" xfId="54" applyNumberFormat="1" applyFont="1" applyBorder="1" applyProtection="1">
      <alignment/>
      <protection/>
    </xf>
    <xf numFmtId="0" fontId="18" fillId="36" borderId="10" xfId="0" applyFont="1" applyFill="1" applyBorder="1" applyAlignment="1" applyProtection="1">
      <alignment/>
      <protection/>
    </xf>
    <xf numFmtId="182" fontId="18" fillId="36" borderId="10" xfId="0" applyNumberFormat="1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0" fontId="11" fillId="0" borderId="16" xfId="0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/>
      <protection/>
    </xf>
    <xf numFmtId="182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82" fontId="8" fillId="36" borderId="10" xfId="54" applyNumberFormat="1" applyFont="1" applyFill="1" applyBorder="1" applyProtection="1">
      <alignment/>
      <protection/>
    </xf>
    <xf numFmtId="182" fontId="8" fillId="35" borderId="10" xfId="0" applyNumberFormat="1" applyFont="1" applyFill="1" applyBorder="1" applyAlignment="1" applyProtection="1">
      <alignment horizontal="right"/>
      <protection locked="0"/>
    </xf>
    <xf numFmtId="182" fontId="8" fillId="35" borderId="10" xfId="0" applyNumberFormat="1" applyFont="1" applyFill="1" applyBorder="1" applyAlignment="1" applyProtection="1">
      <alignment horizontal="right"/>
      <protection/>
    </xf>
    <xf numFmtId="0" fontId="10" fillId="0" borderId="10" xfId="54" applyFont="1" applyBorder="1" applyAlignment="1" applyProtection="1">
      <alignment vertical="center"/>
      <protection/>
    </xf>
    <xf numFmtId="191" fontId="7" fillId="34" borderId="14" xfId="0" applyNumberFormat="1" applyFont="1" applyFill="1" applyBorder="1" applyAlignment="1" applyProtection="1">
      <alignment/>
      <protection/>
    </xf>
    <xf numFmtId="182" fontId="18" fillId="0" borderId="0" xfId="0" applyNumberFormat="1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27" fillId="0" borderId="0" xfId="54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4" fontId="8" fillId="0" borderId="0" xfId="54" applyNumberFormat="1" applyFont="1" applyBorder="1" applyAlignment="1" applyProtection="1">
      <alignment horizontal="right"/>
      <protection/>
    </xf>
    <xf numFmtId="182" fontId="8" fillId="0" borderId="10" xfId="0" applyNumberFormat="1" applyFont="1" applyBorder="1" applyAlignment="1" applyProtection="1">
      <alignment/>
      <protection/>
    </xf>
    <xf numFmtId="182" fontId="8" fillId="37" borderId="10" xfId="0" applyNumberFormat="1" applyFont="1" applyFill="1" applyBorder="1" applyAlignment="1" applyProtection="1">
      <alignment/>
      <protection/>
    </xf>
    <xf numFmtId="182" fontId="22" fillId="37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8" fillId="0" borderId="10" xfId="54" applyFont="1" applyFill="1" applyBorder="1" applyAlignment="1" applyProtection="1">
      <alignment horizontal="center"/>
      <protection/>
    </xf>
    <xf numFmtId="0" fontId="22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9" fillId="35" borderId="10" xfId="54" applyNumberFormat="1" applyFont="1" applyFill="1" applyBorder="1" applyAlignment="1" applyProtection="1">
      <alignment horizontal="center" vertical="center" wrapText="1"/>
      <protection/>
    </xf>
    <xf numFmtId="4" fontId="7" fillId="34" borderId="10" xfId="0" applyNumberFormat="1" applyFont="1" applyFill="1" applyBorder="1" applyAlignment="1" applyProtection="1">
      <alignment horizontal="right"/>
      <protection/>
    </xf>
    <xf numFmtId="4" fontId="8" fillId="35" borderId="10" xfId="0" applyNumberFormat="1" applyFont="1" applyFill="1" applyBorder="1" applyAlignment="1" applyProtection="1">
      <alignment horizontal="right"/>
      <protection/>
    </xf>
    <xf numFmtId="4" fontId="8" fillId="35" borderId="10" xfId="0" applyNumberFormat="1" applyFont="1" applyFill="1" applyBorder="1" applyAlignment="1" applyProtection="1">
      <alignment horizontal="right"/>
      <protection locked="0"/>
    </xf>
    <xf numFmtId="4" fontId="22" fillId="35" borderId="10" xfId="0" applyNumberFormat="1" applyFont="1" applyFill="1" applyBorder="1" applyAlignment="1" applyProtection="1">
      <alignment horizontal="right"/>
      <protection locked="0"/>
    </xf>
    <xf numFmtId="4" fontId="8" fillId="35" borderId="10" xfId="0" applyNumberFormat="1" applyFont="1" applyFill="1" applyBorder="1" applyAlignment="1" applyProtection="1">
      <alignment horizontal="right"/>
      <protection locked="0"/>
    </xf>
    <xf numFmtId="4" fontId="8" fillId="35" borderId="10" xfId="0" applyNumberFormat="1" applyFont="1" applyFill="1" applyBorder="1" applyAlignment="1" applyProtection="1">
      <alignment horizontal="right"/>
      <protection/>
    </xf>
    <xf numFmtId="4" fontId="19" fillId="35" borderId="10" xfId="0" applyNumberFormat="1" applyFont="1" applyFill="1" applyBorder="1" applyAlignment="1" applyProtection="1">
      <alignment horizontal="right"/>
      <protection/>
    </xf>
    <xf numFmtId="4" fontId="13" fillId="35" borderId="10" xfId="0" applyNumberFormat="1" applyFont="1" applyFill="1" applyBorder="1" applyAlignment="1" applyProtection="1">
      <alignment horizontal="right" wrapText="1"/>
      <protection/>
    </xf>
    <xf numFmtId="4" fontId="13" fillId="35" borderId="10" xfId="0" applyNumberFormat="1" applyFont="1" applyFill="1" applyBorder="1" applyAlignment="1" applyProtection="1">
      <alignment horizontal="right" wrapText="1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27" fillId="35" borderId="10" xfId="0" applyNumberFormat="1" applyFont="1" applyFill="1" applyBorder="1" applyAlignment="1" applyProtection="1">
      <alignment horizontal="right"/>
      <protection/>
    </xf>
    <xf numFmtId="4" fontId="8" fillId="35" borderId="10" xfId="54" applyNumberFormat="1" applyFont="1" applyFill="1" applyBorder="1" applyProtection="1">
      <alignment/>
      <protection/>
    </xf>
    <xf numFmtId="4" fontId="7" fillId="35" borderId="10" xfId="54" applyNumberFormat="1" applyFont="1" applyFill="1" applyBorder="1" applyProtection="1">
      <alignment/>
      <protection/>
    </xf>
    <xf numFmtId="4" fontId="7" fillId="34" borderId="10" xfId="54" applyNumberFormat="1" applyFont="1" applyFill="1" applyBorder="1" applyProtection="1">
      <alignment/>
      <protection/>
    </xf>
    <xf numFmtId="4" fontId="8" fillId="0" borderId="0" xfId="54" applyNumberFormat="1" applyFont="1" applyFill="1" applyProtection="1">
      <alignment/>
      <protection/>
    </xf>
    <xf numFmtId="4" fontId="8" fillId="0" borderId="14" xfId="54" applyNumberFormat="1" applyFont="1" applyFill="1" applyBorder="1" applyAlignment="1" applyProtection="1">
      <alignment horizontal="center"/>
      <protection/>
    </xf>
    <xf numFmtId="0" fontId="29" fillId="0" borderId="10" xfId="54" applyFont="1" applyFill="1" applyBorder="1" applyAlignment="1" applyProtection="1">
      <alignment/>
      <protection/>
    </xf>
    <xf numFmtId="0" fontId="39" fillId="0" borderId="10" xfId="54" applyFont="1" applyBorder="1" applyAlignment="1" applyProtection="1">
      <alignment vertical="center"/>
      <protection/>
    </xf>
    <xf numFmtId="183" fontId="3" fillId="0" borderId="0" xfId="54" applyNumberFormat="1" applyFont="1" applyFill="1" applyAlignment="1" applyProtection="1">
      <alignment horizontal="center"/>
      <protection/>
    </xf>
    <xf numFmtId="183" fontId="9" fillId="35" borderId="10" xfId="54" applyNumberFormat="1" applyFont="1" applyFill="1" applyBorder="1" applyAlignment="1" applyProtection="1">
      <alignment horizontal="center" vertical="center" wrapText="1"/>
      <protection/>
    </xf>
    <xf numFmtId="183" fontId="7" fillId="34" borderId="10" xfId="0" applyNumberFormat="1" applyFont="1" applyFill="1" applyBorder="1" applyAlignment="1" applyProtection="1">
      <alignment horizontal="right"/>
      <protection/>
    </xf>
    <xf numFmtId="183" fontId="8" fillId="35" borderId="10" xfId="0" applyNumberFormat="1" applyFont="1" applyFill="1" applyBorder="1" applyAlignment="1" applyProtection="1">
      <alignment horizontal="right"/>
      <protection locked="0"/>
    </xf>
    <xf numFmtId="183" fontId="22" fillId="35" borderId="10" xfId="0" applyNumberFormat="1" applyFont="1" applyFill="1" applyBorder="1" applyAlignment="1" applyProtection="1">
      <alignment horizontal="right"/>
      <protection locked="0"/>
    </xf>
    <xf numFmtId="183" fontId="8" fillId="35" borderId="10" xfId="0" applyNumberFormat="1" applyFont="1" applyFill="1" applyBorder="1" applyAlignment="1" applyProtection="1">
      <alignment horizontal="right"/>
      <protection locked="0"/>
    </xf>
    <xf numFmtId="183" fontId="8" fillId="35" borderId="10" xfId="0" applyNumberFormat="1" applyFont="1" applyFill="1" applyBorder="1" applyAlignment="1" applyProtection="1">
      <alignment horizontal="right"/>
      <protection/>
    </xf>
    <xf numFmtId="183" fontId="7" fillId="35" borderId="10" xfId="0" applyNumberFormat="1" applyFont="1" applyFill="1" applyBorder="1" applyAlignment="1" applyProtection="1">
      <alignment horizontal="right"/>
      <protection/>
    </xf>
    <xf numFmtId="183" fontId="27" fillId="35" borderId="10" xfId="0" applyNumberFormat="1" applyFont="1" applyFill="1" applyBorder="1" applyAlignment="1" applyProtection="1">
      <alignment horizontal="right"/>
      <protection/>
    </xf>
    <xf numFmtId="183" fontId="8" fillId="35" borderId="10" xfId="54" applyNumberFormat="1" applyFont="1" applyFill="1" applyBorder="1" applyProtection="1">
      <alignment/>
      <protection/>
    </xf>
    <xf numFmtId="183" fontId="7" fillId="35" borderId="10" xfId="54" applyNumberFormat="1" applyFont="1" applyFill="1" applyBorder="1" applyProtection="1">
      <alignment/>
      <protection/>
    </xf>
    <xf numFmtId="183" fontId="7" fillId="34" borderId="10" xfId="54" applyNumberFormat="1" applyFont="1" applyFill="1" applyBorder="1" applyProtection="1">
      <alignment/>
      <protection/>
    </xf>
    <xf numFmtId="183" fontId="8" fillId="0" borderId="0" xfId="54" applyNumberFormat="1" applyFont="1" applyFill="1" applyProtection="1">
      <alignment/>
      <protection/>
    </xf>
    <xf numFmtId="183" fontId="8" fillId="0" borderId="14" xfId="54" applyNumberFormat="1" applyFont="1" applyFill="1" applyBorder="1" applyAlignment="1" applyProtection="1">
      <alignment horizontal="center"/>
      <protection/>
    </xf>
    <xf numFmtId="182" fontId="22" fillId="35" borderId="10" xfId="0" applyNumberFormat="1" applyFont="1" applyFill="1" applyBorder="1" applyAlignment="1" applyProtection="1">
      <alignment/>
      <protection/>
    </xf>
    <xf numFmtId="0" fontId="8" fillId="0" borderId="14" xfId="54" applyFont="1" applyBorder="1" applyProtection="1">
      <alignment/>
      <protection/>
    </xf>
    <xf numFmtId="182" fontId="8" fillId="0" borderId="0" xfId="54" applyNumberFormat="1" applyFont="1" applyBorder="1" applyAlignment="1" applyProtection="1">
      <alignment horizontal="right"/>
      <protection/>
    </xf>
    <xf numFmtId="182" fontId="8" fillId="0" borderId="0" xfId="54" applyNumberFormat="1" applyFont="1" applyFill="1" applyBorder="1" applyAlignment="1" applyProtection="1">
      <alignment horizontal="center"/>
      <protection/>
    </xf>
    <xf numFmtId="4" fontId="8" fillId="0" borderId="0" xfId="54" applyNumberFormat="1" applyFont="1" applyFill="1" applyBorder="1" applyAlignment="1" applyProtection="1">
      <alignment horizontal="right"/>
      <protection/>
    </xf>
    <xf numFmtId="182" fontId="40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182" fontId="8" fillId="0" borderId="10" xfId="0" applyNumberFormat="1" applyFont="1" applyFill="1" applyBorder="1" applyAlignment="1" applyProtection="1">
      <alignment horizontal="right"/>
      <protection locked="0"/>
    </xf>
    <xf numFmtId="0" fontId="8" fillId="0" borderId="14" xfId="54" applyFont="1" applyFill="1" applyBorder="1" applyAlignment="1" applyProtection="1">
      <alignment horizontal="left" vertical="center" wrapText="1"/>
      <protection/>
    </xf>
    <xf numFmtId="0" fontId="8" fillId="0" borderId="10" xfId="54" applyFont="1" applyFill="1" applyBorder="1" applyAlignment="1" applyProtection="1">
      <alignment vertical="center" wrapText="1"/>
      <protection/>
    </xf>
    <xf numFmtId="0" fontId="8" fillId="0" borderId="10" xfId="54" applyFont="1" applyFill="1" applyBorder="1" applyAlignment="1" applyProtection="1">
      <alignment vertical="center" wrapText="1"/>
      <protection/>
    </xf>
    <xf numFmtId="4" fontId="11" fillId="0" borderId="0" xfId="0" applyNumberFormat="1" applyFont="1" applyAlignment="1" applyProtection="1">
      <alignment/>
      <protection/>
    </xf>
    <xf numFmtId="182" fontId="7" fillId="34" borderId="14" xfId="0" applyNumberFormat="1" applyFont="1" applyFill="1" applyBorder="1" applyAlignment="1" applyProtection="1">
      <alignment horizontal="right"/>
      <protection/>
    </xf>
    <xf numFmtId="4" fontId="8" fillId="0" borderId="10" xfId="0" applyNumberFormat="1" applyFont="1" applyBorder="1" applyAlignment="1" applyProtection="1">
      <alignment/>
      <protection/>
    </xf>
    <xf numFmtId="4" fontId="19" fillId="0" borderId="10" xfId="0" applyNumberFormat="1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182" fontId="29" fillId="35" borderId="13" xfId="0" applyNumberFormat="1" applyFont="1" applyFill="1" applyBorder="1" applyAlignment="1" applyProtection="1">
      <alignment horizontal="center" vertical="center" wrapText="1"/>
      <protection/>
    </xf>
    <xf numFmtId="182" fontId="29" fillId="35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182" fontId="4" fillId="0" borderId="13" xfId="59" applyNumberFormat="1" applyFont="1" applyFill="1" applyBorder="1" applyAlignment="1" applyProtection="1">
      <alignment horizontal="center" vertical="center" wrapText="1"/>
      <protection/>
    </xf>
    <xf numFmtId="182" fontId="4" fillId="0" borderId="17" xfId="59" applyNumberFormat="1" applyFont="1" applyFill="1" applyBorder="1" applyAlignment="1" applyProtection="1">
      <alignment horizontal="center" vertical="center" wrapText="1"/>
      <protection/>
    </xf>
    <xf numFmtId="0" fontId="29" fillId="0" borderId="18" xfId="54" applyFont="1" applyFill="1" applyBorder="1" applyAlignment="1" applyProtection="1">
      <alignment horizontal="center" vertical="center" wrapText="1"/>
      <protection/>
    </xf>
    <xf numFmtId="0" fontId="29" fillId="0" borderId="19" xfId="54" applyFont="1" applyFill="1" applyBorder="1" applyAlignment="1" applyProtection="1">
      <alignment horizontal="center" vertical="center" wrapText="1"/>
      <protection/>
    </xf>
    <xf numFmtId="0" fontId="14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29" fillId="0" borderId="16" xfId="54" applyFont="1" applyFill="1" applyBorder="1" applyAlignment="1" applyProtection="1">
      <alignment horizontal="center" vertical="center" wrapText="1"/>
      <protection/>
    </xf>
    <xf numFmtId="0" fontId="29" fillId="0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Border="1" applyAlignment="1" applyProtection="1">
      <alignment horizontal="right"/>
      <protection/>
    </xf>
    <xf numFmtId="0" fontId="10" fillId="0" borderId="0" xfId="54" applyFont="1" applyBorder="1" applyAlignment="1" applyProtection="1">
      <alignment horizontal="center" wrapText="1"/>
      <protection/>
    </xf>
    <xf numFmtId="0" fontId="8" fillId="0" borderId="0" xfId="54" applyFont="1" applyAlignment="1" applyProtection="1">
      <alignment horizontal="right"/>
      <protection/>
    </xf>
    <xf numFmtId="0" fontId="8" fillId="0" borderId="0" xfId="54" applyFont="1" applyBorder="1" applyAlignment="1" applyProtection="1">
      <alignment horizontal="right" wrapText="1"/>
      <protection/>
    </xf>
    <xf numFmtId="0" fontId="8" fillId="0" borderId="0" xfId="54" applyFont="1" applyBorder="1" applyAlignment="1" applyProtection="1">
      <alignment horizontal="center"/>
      <protection/>
    </xf>
    <xf numFmtId="0" fontId="18" fillId="0" borderId="0" xfId="54" applyFont="1" applyAlignment="1" applyProtection="1">
      <alignment horizontal="center" wrapText="1"/>
      <protection/>
    </xf>
    <xf numFmtId="0" fontId="8" fillId="0" borderId="0" xfId="54" applyFont="1" applyAlignment="1" applyProtection="1">
      <alignment horizontal="center"/>
      <protection/>
    </xf>
    <xf numFmtId="0" fontId="23" fillId="0" borderId="0" xfId="54" applyFont="1" applyAlignment="1" applyProtection="1">
      <alignment horizontal="center"/>
      <protection/>
    </xf>
    <xf numFmtId="0" fontId="8" fillId="0" borderId="0" xfId="54" applyFont="1" applyBorder="1" applyAlignment="1" applyProtection="1">
      <alignment horizontal="left" wrapText="1"/>
      <protection/>
    </xf>
    <xf numFmtId="0" fontId="34" fillId="0" borderId="0" xfId="54" applyFont="1" applyAlignment="1" applyProtection="1">
      <alignment horizontal="center"/>
      <protection/>
    </xf>
    <xf numFmtId="0" fontId="34" fillId="0" borderId="0" xfId="54" applyFont="1" applyBorder="1" applyAlignment="1" applyProtection="1">
      <alignment horizontal="center"/>
      <protection/>
    </xf>
    <xf numFmtId="182" fontId="4" fillId="0" borderId="13" xfId="54" applyNumberFormat="1" applyFont="1" applyFill="1" applyBorder="1" applyAlignment="1" applyProtection="1">
      <alignment horizontal="center" wrapText="1"/>
      <protection/>
    </xf>
    <xf numFmtId="182" fontId="4" fillId="0" borderId="17" xfId="54" applyNumberFormat="1" applyFont="1" applyFill="1" applyBorder="1" applyAlignment="1" applyProtection="1">
      <alignment horizontal="center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49" fontId="6" fillId="0" borderId="10" xfId="54" applyNumberFormat="1" applyFont="1" applyBorder="1" applyAlignment="1" applyProtection="1">
      <alignment horizontal="center" vertical="center" wrapText="1"/>
      <protection/>
    </xf>
    <xf numFmtId="0" fontId="8" fillId="0" borderId="10" xfId="54" applyFont="1" applyBorder="1" applyAlignment="1" applyProtection="1">
      <alignment horizontal="right"/>
      <protection/>
    </xf>
    <xf numFmtId="0" fontId="8" fillId="0" borderId="14" xfId="54" applyFont="1" applyBorder="1" applyAlignment="1" applyProtection="1">
      <alignment horizontal="right" wrapText="1"/>
      <protection/>
    </xf>
    <xf numFmtId="0" fontId="8" fillId="0" borderId="15" xfId="54" applyFont="1" applyBorder="1" applyAlignment="1" applyProtection="1">
      <alignment horizontal="right" wrapText="1"/>
      <protection/>
    </xf>
    <xf numFmtId="183" fontId="29" fillId="35" borderId="13" xfId="0" applyNumberFormat="1" applyFont="1" applyFill="1" applyBorder="1" applyAlignment="1" applyProtection="1">
      <alignment horizontal="center" vertical="center" wrapText="1"/>
      <protection/>
    </xf>
    <xf numFmtId="183" fontId="29" fillId="35" borderId="17" xfId="0" applyNumberFormat="1" applyFont="1" applyFill="1" applyBorder="1" applyAlignment="1" applyProtection="1">
      <alignment horizontal="center" vertical="center" wrapText="1"/>
      <protection/>
    </xf>
    <xf numFmtId="4" fontId="14" fillId="0" borderId="0" xfId="54" applyNumberFormat="1" applyFont="1" applyAlignment="1" applyProtection="1">
      <alignment horizontal="center"/>
      <protection/>
    </xf>
    <xf numFmtId="4" fontId="29" fillId="35" borderId="13" xfId="0" applyNumberFormat="1" applyFont="1" applyFill="1" applyBorder="1" applyAlignment="1" applyProtection="1">
      <alignment horizontal="center" vertical="center" wrapText="1"/>
      <protection/>
    </xf>
    <xf numFmtId="4" fontId="29" fillId="35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54" applyFont="1" applyBorder="1" applyAlignment="1" applyProtection="1">
      <alignment horizontal="left" wrapText="1"/>
      <protection/>
    </xf>
    <xf numFmtId="182" fontId="4" fillId="0" borderId="13" xfId="59" applyNumberFormat="1" applyFont="1" applyFill="1" applyBorder="1" applyAlignment="1" applyProtection="1">
      <alignment horizontal="center" wrapText="1"/>
      <protection/>
    </xf>
    <xf numFmtId="182" fontId="4" fillId="0" borderId="17" xfId="59" applyNumberFormat="1" applyFont="1" applyFill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wrapText="1"/>
      <protection/>
    </xf>
    <xf numFmtId="0" fontId="4" fillId="0" borderId="17" xfId="54" applyFont="1" applyFill="1" applyBorder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9" fontId="4" fillId="0" borderId="17" xfId="59" applyFont="1" applyFill="1" applyBorder="1" applyAlignment="1" applyProtection="1">
      <alignment horizontal="center" wrapText="1"/>
      <protection/>
    </xf>
    <xf numFmtId="0" fontId="10" fillId="0" borderId="10" xfId="54" applyFont="1" applyBorder="1" applyAlignment="1" applyProtection="1">
      <alignment horizontal="center" wrapText="1"/>
      <protection/>
    </xf>
    <xf numFmtId="0" fontId="8" fillId="0" borderId="10" xfId="54" applyFont="1" applyBorder="1" applyAlignment="1" applyProtection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92"/>
  <sheetViews>
    <sheetView tabSelected="1" zoomScale="73" zoomScaleNormal="73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" sqref="G6"/>
    </sheetView>
  </sheetViews>
  <sheetFormatPr defaultColWidth="9.125" defaultRowHeight="12.75"/>
  <cols>
    <col min="1" max="1" width="0.5" style="4" customWidth="1"/>
    <col min="2" max="2" width="53.125" style="4" customWidth="1"/>
    <col min="3" max="3" width="11.75390625" style="89" customWidth="1"/>
    <col min="4" max="4" width="11.875" style="4" customWidth="1"/>
    <col min="5" max="5" width="11.25390625" style="155" customWidth="1"/>
    <col min="6" max="6" width="11.875" style="4" customWidth="1"/>
    <col min="7" max="7" width="12.875" style="4" customWidth="1"/>
    <col min="8" max="8" width="12.25390625" style="4" hidden="1" customWidth="1"/>
    <col min="9" max="9" width="10.00390625" style="4" hidden="1" customWidth="1"/>
    <col min="10" max="10" width="12.00390625" style="4" customWidth="1"/>
    <col min="11" max="11" width="11.00390625" style="4" customWidth="1"/>
    <col min="12" max="12" width="10.875" style="4" customWidth="1"/>
    <col min="13" max="13" width="11.00390625" style="4" customWidth="1"/>
    <col min="14" max="14" width="11.00390625" style="4" hidden="1" customWidth="1"/>
    <col min="15" max="15" width="11.00390625" style="120" hidden="1" customWidth="1"/>
    <col min="16" max="16384" width="9.125" style="4" customWidth="1"/>
  </cols>
  <sheetData>
    <row r="1" spans="1:15" s="1" customFormat="1" ht="26.25" customHeight="1">
      <c r="A1" s="247" t="s">
        <v>340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117"/>
      <c r="O1" s="118"/>
    </row>
    <row r="2" spans="2:15" s="1" customFormat="1" ht="15.75" customHeight="1">
      <c r="B2" s="248"/>
      <c r="C2" s="248"/>
      <c r="D2" s="2"/>
      <c r="E2" s="149"/>
      <c r="F2" s="2"/>
      <c r="G2" s="2"/>
      <c r="M2" s="20" t="s">
        <v>104</v>
      </c>
      <c r="N2" s="20"/>
      <c r="O2" s="119"/>
    </row>
    <row r="3" spans="1:15" s="3" customFormat="1" ht="13.5" customHeight="1">
      <c r="A3" s="249"/>
      <c r="B3" s="251"/>
      <c r="C3" s="252" t="s">
        <v>0</v>
      </c>
      <c r="D3" s="40"/>
      <c r="E3" s="253" t="s">
        <v>107</v>
      </c>
      <c r="F3" s="254"/>
      <c r="G3" s="254"/>
      <c r="H3" s="114"/>
      <c r="I3" s="114"/>
      <c r="J3" s="255" t="s">
        <v>327</v>
      </c>
      <c r="K3" s="236" t="s">
        <v>328</v>
      </c>
      <c r="L3" s="236"/>
      <c r="M3" s="236"/>
      <c r="N3" s="236"/>
      <c r="O3" s="236"/>
    </row>
    <row r="4" spans="1:15" ht="22.5" customHeight="1">
      <c r="A4" s="249"/>
      <c r="B4" s="251"/>
      <c r="C4" s="252"/>
      <c r="D4" s="237" t="s">
        <v>325</v>
      </c>
      <c r="E4" s="239" t="s">
        <v>116</v>
      </c>
      <c r="F4" s="241" t="s">
        <v>217</v>
      </c>
      <c r="G4" s="243" t="s">
        <v>326</v>
      </c>
      <c r="H4" s="116" t="s">
        <v>172</v>
      </c>
      <c r="I4" s="121" t="s">
        <v>171</v>
      </c>
      <c r="J4" s="256"/>
      <c r="K4" s="258" t="s">
        <v>341</v>
      </c>
      <c r="L4" s="241" t="s">
        <v>136</v>
      </c>
      <c r="M4" s="260" t="s">
        <v>135</v>
      </c>
      <c r="N4" s="122" t="s">
        <v>172</v>
      </c>
      <c r="O4" s="123" t="s">
        <v>171</v>
      </c>
    </row>
    <row r="5" spans="1:15" ht="92.25" customHeight="1">
      <c r="A5" s="250"/>
      <c r="B5" s="251"/>
      <c r="C5" s="252"/>
      <c r="D5" s="238"/>
      <c r="E5" s="240"/>
      <c r="F5" s="242"/>
      <c r="G5" s="244"/>
      <c r="H5" s="245" t="s">
        <v>324</v>
      </c>
      <c r="I5" s="246"/>
      <c r="J5" s="257"/>
      <c r="K5" s="259"/>
      <c r="L5" s="242"/>
      <c r="M5" s="260"/>
      <c r="N5" s="245" t="s">
        <v>176</v>
      </c>
      <c r="O5" s="246"/>
    </row>
    <row r="6" spans="1:15" ht="15.75" customHeight="1">
      <c r="A6" s="5" t="s">
        <v>1</v>
      </c>
      <c r="B6" s="10" t="s">
        <v>2</v>
      </c>
      <c r="C6" s="80" t="s">
        <v>3</v>
      </c>
      <c r="D6" s="10" t="s">
        <v>5</v>
      </c>
      <c r="E6" s="150" t="s">
        <v>6</v>
      </c>
      <c r="F6" s="10" t="s">
        <v>7</v>
      </c>
      <c r="G6" s="10" t="s">
        <v>122</v>
      </c>
      <c r="H6" s="10" t="s">
        <v>105</v>
      </c>
      <c r="I6" s="10" t="s">
        <v>180</v>
      </c>
      <c r="J6" s="10" t="s">
        <v>181</v>
      </c>
      <c r="K6" s="10" t="s">
        <v>182</v>
      </c>
      <c r="L6" s="10" t="s">
        <v>183</v>
      </c>
      <c r="M6" s="10" t="s">
        <v>184</v>
      </c>
      <c r="N6" s="10" t="s">
        <v>185</v>
      </c>
      <c r="O6" s="142">
        <v>17</v>
      </c>
    </row>
    <row r="7" spans="1:15" ht="15.75" customHeight="1">
      <c r="A7" s="21"/>
      <c r="B7" s="22" t="s">
        <v>108</v>
      </c>
      <c r="C7" s="80"/>
      <c r="D7" s="10"/>
      <c r="E7" s="150"/>
      <c r="F7" s="10"/>
      <c r="G7" s="10"/>
      <c r="H7" s="10"/>
      <c r="I7" s="10"/>
      <c r="J7" s="10"/>
      <c r="K7" s="10"/>
      <c r="L7" s="10"/>
      <c r="M7" s="10"/>
      <c r="N7" s="10"/>
      <c r="O7" s="124"/>
    </row>
    <row r="8" spans="1:15" s="6" customFormat="1" ht="17.25">
      <c r="A8" s="7"/>
      <c r="B8" s="19" t="s">
        <v>9</v>
      </c>
      <c r="C8" s="93" t="s">
        <v>10</v>
      </c>
      <c r="D8" s="18">
        <f>D9+D15+D18+D19+D20+D32+D17</f>
        <v>571789</v>
      </c>
      <c r="E8" s="18">
        <f>E9+E15+E18+E19+E20+E32+E17</f>
        <v>672693.01</v>
      </c>
      <c r="F8" s="18">
        <f aca="true" t="shared" si="0" ref="F8:F15">E8-D8</f>
        <v>100904.01000000001</v>
      </c>
      <c r="G8" s="45">
        <f aca="true" t="shared" si="1" ref="G8:G13">E8/D8*100</f>
        <v>117.64707086005501</v>
      </c>
      <c r="H8" s="18">
        <f>H9+H15+H18+H19+H20+H32</f>
        <v>180262.24800000002</v>
      </c>
      <c r="I8" s="18"/>
      <c r="J8" s="18">
        <f>J9+J15+J18+J19+J20+J32+J17</f>
        <v>31145.430000000004</v>
      </c>
      <c r="K8" s="18">
        <f>K9+K15+K18+K19+K20+K32+K17</f>
        <v>63883.22999999994</v>
      </c>
      <c r="L8" s="31">
        <f>K8-J8</f>
        <v>32737.799999999934</v>
      </c>
      <c r="M8" s="31">
        <f aca="true" t="shared" si="2" ref="M8:M14">K8/J8*100</f>
        <v>205.11269229546656</v>
      </c>
      <c r="N8" s="31">
        <f>K8-33748.16</f>
        <v>30135.069999999934</v>
      </c>
      <c r="O8" s="125">
        <f>K8/33748.16</f>
        <v>1.892939644709517</v>
      </c>
    </row>
    <row r="9" spans="1:15" s="6" customFormat="1" ht="15">
      <c r="A9" s="8"/>
      <c r="B9" s="15" t="s">
        <v>223</v>
      </c>
      <c r="C9" s="59">
        <v>11010000</v>
      </c>
      <c r="D9" s="36">
        <v>312190</v>
      </c>
      <c r="E9" s="143">
        <v>372804.54</v>
      </c>
      <c r="F9" s="43">
        <f t="shared" si="0"/>
        <v>60614.53999999998</v>
      </c>
      <c r="G9" s="226">
        <f t="shared" si="1"/>
        <v>119.41591338607897</v>
      </c>
      <c r="H9" s="132">
        <f>E9-390088.74/75*60</f>
        <v>60733.54800000001</v>
      </c>
      <c r="I9" s="132">
        <f>E9/(390088.74/75*60)*100</f>
        <v>119.46145254026047</v>
      </c>
      <c r="J9" s="35">
        <f>D9-листопад!E9</f>
        <v>22222.880000000005</v>
      </c>
      <c r="K9" s="35">
        <f>E9-листопад!F9</f>
        <v>43580.50999999995</v>
      </c>
      <c r="L9" s="47">
        <f>K9-J9</f>
        <v>21357.629999999946</v>
      </c>
      <c r="M9" s="50">
        <f t="shared" si="2"/>
        <v>196.1064902478884</v>
      </c>
      <c r="N9" s="132">
        <f>K9-26568.11</f>
        <v>17012.39999999995</v>
      </c>
      <c r="O9" s="133">
        <f>K9/26568.11</f>
        <v>1.6403315854985525</v>
      </c>
    </row>
    <row r="10" spans="1:15" s="6" customFormat="1" ht="15" hidden="1">
      <c r="A10" s="8"/>
      <c r="B10" s="183" t="s">
        <v>253</v>
      </c>
      <c r="C10" s="134">
        <v>11010100</v>
      </c>
      <c r="D10" s="135">
        <v>270410</v>
      </c>
      <c r="E10" s="144">
        <v>329938.9</v>
      </c>
      <c r="F10" s="135">
        <f t="shared" si="0"/>
        <v>59528.90000000002</v>
      </c>
      <c r="G10" s="137">
        <f t="shared" si="1"/>
        <v>122.01431160090235</v>
      </c>
      <c r="H10" s="138">
        <f>E10-345014.69/75*60</f>
        <v>53927.14799999999</v>
      </c>
      <c r="I10" s="138">
        <f>E10/(345014.69/75*60)*100</f>
        <v>119.5379898171872</v>
      </c>
      <c r="J10" s="137">
        <f>D10-листопад!E10</f>
        <v>18049.179999999993</v>
      </c>
      <c r="K10" s="137">
        <f>E10-листопад!F10</f>
        <v>37716.369999999995</v>
      </c>
      <c r="L10" s="138">
        <f aca="true" t="shared" si="3" ref="L10:L21">K10-J10</f>
        <v>19667.190000000002</v>
      </c>
      <c r="M10" s="136">
        <f t="shared" si="2"/>
        <v>208.9644515706531</v>
      </c>
      <c r="N10" s="50"/>
      <c r="O10" s="126"/>
    </row>
    <row r="11" spans="1:15" s="6" customFormat="1" ht="15" hidden="1">
      <c r="A11" s="8"/>
      <c r="B11" s="183" t="s">
        <v>249</v>
      </c>
      <c r="C11" s="134">
        <v>11010200</v>
      </c>
      <c r="D11" s="135">
        <v>23200</v>
      </c>
      <c r="E11" s="144">
        <v>20742.02</v>
      </c>
      <c r="F11" s="135">
        <f t="shared" si="0"/>
        <v>-2457.9799999999996</v>
      </c>
      <c r="G11" s="137">
        <f t="shared" si="1"/>
        <v>89.40525862068965</v>
      </c>
      <c r="H11" s="138">
        <f>E11-28367.99/75*60</f>
        <v>-1952.3719999999994</v>
      </c>
      <c r="I11" s="138">
        <f>E11/(28367.99/75*60)*100</f>
        <v>91.39711696175866</v>
      </c>
      <c r="J11" s="137">
        <f>D11-листопад!E11</f>
        <v>2230.0999999999985</v>
      </c>
      <c r="K11" s="137">
        <f>E11-листопад!F11</f>
        <v>3221.959999999999</v>
      </c>
      <c r="L11" s="138">
        <f t="shared" si="3"/>
        <v>991.8600000000006</v>
      </c>
      <c r="M11" s="136">
        <f t="shared" si="2"/>
        <v>144.47603246491195</v>
      </c>
      <c r="N11" s="50"/>
      <c r="O11" s="126"/>
    </row>
    <row r="12" spans="1:15" s="6" customFormat="1" ht="15" hidden="1">
      <c r="A12" s="8"/>
      <c r="B12" s="183" t="s">
        <v>252</v>
      </c>
      <c r="C12" s="134">
        <v>11010400</v>
      </c>
      <c r="D12" s="135">
        <v>5800</v>
      </c>
      <c r="E12" s="144">
        <v>5604.18</v>
      </c>
      <c r="F12" s="135">
        <f t="shared" si="0"/>
        <v>-195.8199999999997</v>
      </c>
      <c r="G12" s="137">
        <f t="shared" si="1"/>
        <v>96.62379310344829</v>
      </c>
      <c r="H12" s="138">
        <f>E12-7225.35/75*60</f>
        <v>-176.10000000000036</v>
      </c>
      <c r="I12" s="138">
        <f>E12/(7225.35/75*60)*100</f>
        <v>96.95343478170606</v>
      </c>
      <c r="J12" s="137">
        <f>D12-листопад!E12</f>
        <v>931</v>
      </c>
      <c r="K12" s="137">
        <f>E12-листопад!F12</f>
        <v>1022.9500000000007</v>
      </c>
      <c r="L12" s="138">
        <f t="shared" si="3"/>
        <v>91.95000000000073</v>
      </c>
      <c r="M12" s="136">
        <f t="shared" si="2"/>
        <v>109.87647690655218</v>
      </c>
      <c r="N12" s="50"/>
      <c r="O12" s="126"/>
    </row>
    <row r="13" spans="1:15" s="6" customFormat="1" ht="15" hidden="1">
      <c r="A13" s="8"/>
      <c r="B13" s="183" t="s">
        <v>250</v>
      </c>
      <c r="C13" s="134">
        <v>11010500</v>
      </c>
      <c r="D13" s="135">
        <v>8400</v>
      </c>
      <c r="E13" s="144">
        <v>7282.62</v>
      </c>
      <c r="F13" s="135">
        <f t="shared" si="0"/>
        <v>-1117.38</v>
      </c>
      <c r="G13" s="137">
        <f t="shared" si="1"/>
        <v>86.69785714285713</v>
      </c>
      <c r="H13" s="138">
        <f>E13-9302.03/75*60</f>
        <v>-159.0039999999999</v>
      </c>
      <c r="I13" s="138">
        <f>E13/(9302.03/75*60)*100</f>
        <v>97.86331585686135</v>
      </c>
      <c r="J13" s="137">
        <f>D13-листопад!E13</f>
        <v>616.6000000000004</v>
      </c>
      <c r="K13" s="137">
        <f>E13-листопад!F13</f>
        <v>552.2699999999995</v>
      </c>
      <c r="L13" s="138">
        <f t="shared" si="3"/>
        <v>-64.33000000000084</v>
      </c>
      <c r="M13" s="136">
        <f t="shared" si="2"/>
        <v>89.56698021407706</v>
      </c>
      <c r="N13" s="50"/>
      <c r="O13" s="126"/>
    </row>
    <row r="14" spans="1:15" s="6" customFormat="1" ht="15" hidden="1">
      <c r="A14" s="8"/>
      <c r="B14" s="183" t="s">
        <v>251</v>
      </c>
      <c r="C14" s="134">
        <v>11010900</v>
      </c>
      <c r="D14" s="135">
        <v>4380</v>
      </c>
      <c r="E14" s="144">
        <v>9236.82</v>
      </c>
      <c r="F14" s="135">
        <f t="shared" si="0"/>
        <v>4856.82</v>
      </c>
      <c r="G14" s="137">
        <f>E14/D14*100</f>
        <v>210.88630136986302</v>
      </c>
      <c r="H14" s="138">
        <f>E14-178.67/75*60</f>
        <v>9093.884</v>
      </c>
      <c r="I14" s="138">
        <f>E14/(178.67/75*60)*100</f>
        <v>6462.206861812281</v>
      </c>
      <c r="J14" s="137">
        <f>D14-листопад!E14</f>
        <v>396</v>
      </c>
      <c r="K14" s="137">
        <f>E14-листопад!F14</f>
        <v>1066.96</v>
      </c>
      <c r="L14" s="138">
        <f t="shared" si="3"/>
        <v>670.96</v>
      </c>
      <c r="M14" s="136">
        <f t="shared" si="2"/>
        <v>269.4343434343435</v>
      </c>
      <c r="N14" s="50"/>
      <c r="O14" s="126"/>
    </row>
    <row r="15" spans="1:15" s="6" customFormat="1" ht="30.75">
      <c r="A15" s="8"/>
      <c r="B15" s="14" t="s">
        <v>329</v>
      </c>
      <c r="C15" s="59">
        <v>11020200</v>
      </c>
      <c r="D15" s="36">
        <v>0</v>
      </c>
      <c r="E15" s="143">
        <v>-522.93</v>
      </c>
      <c r="F15" s="43">
        <f t="shared" si="0"/>
        <v>-522.93</v>
      </c>
      <c r="G15" s="35"/>
      <c r="H15" s="53">
        <f>E15-(-1180.37)</f>
        <v>657.4399999999999</v>
      </c>
      <c r="I15" s="53">
        <f>E15/(-1180.37)*100</f>
        <v>44.302210323881496</v>
      </c>
      <c r="J15" s="35">
        <f>D15-листопад!E15</f>
        <v>-171.4</v>
      </c>
      <c r="K15" s="35">
        <f>E15-листопад!F15</f>
        <v>13.990000000000009</v>
      </c>
      <c r="L15" s="47">
        <f t="shared" si="3"/>
        <v>185.39000000000001</v>
      </c>
      <c r="M15" s="50"/>
      <c r="N15" s="50">
        <f>K15-358.81</f>
        <v>-344.82</v>
      </c>
      <c r="O15" s="126">
        <f>K15/358.81</f>
        <v>0.0389899947047184</v>
      </c>
    </row>
    <row r="16" spans="1:15" s="6" customFormat="1" ht="15" hidden="1">
      <c r="A16" s="8"/>
      <c r="B16" s="69" t="s">
        <v>178</v>
      </c>
      <c r="C16" s="134">
        <v>11010232</v>
      </c>
      <c r="D16" s="135">
        <v>0</v>
      </c>
      <c r="E16" s="144">
        <v>0</v>
      </c>
      <c r="F16" s="135"/>
      <c r="G16" s="137"/>
      <c r="H16" s="138"/>
      <c r="I16" s="138">
        <f>E16/(-381.9)*100</f>
        <v>0</v>
      </c>
      <c r="J16" s="35">
        <f>D16-листопад!E16</f>
        <v>0</v>
      </c>
      <c r="K16" s="35">
        <f>E16-листопад!F16</f>
        <v>0</v>
      </c>
      <c r="L16" s="47">
        <f t="shared" si="3"/>
        <v>0</v>
      </c>
      <c r="M16" s="50"/>
      <c r="N16" s="136">
        <f>K16-358.81</f>
        <v>-358.81</v>
      </c>
      <c r="O16" s="141">
        <f>K16/358.79</f>
        <v>0</v>
      </c>
    </row>
    <row r="17" spans="1:15" s="6" customFormat="1" ht="30.75">
      <c r="A17" s="8"/>
      <c r="B17" s="60" t="s">
        <v>334</v>
      </c>
      <c r="C17" s="181">
        <v>13010200</v>
      </c>
      <c r="D17" s="43">
        <v>0</v>
      </c>
      <c r="E17" s="168">
        <v>0.14</v>
      </c>
      <c r="F17" s="135">
        <f>E17-D17</f>
        <v>0.14</v>
      </c>
      <c r="G17" s="137"/>
      <c r="H17" s="138">
        <f>E17-0.04</f>
        <v>0.1</v>
      </c>
      <c r="I17" s="138"/>
      <c r="J17" s="35">
        <f>D17-листопад!E17</f>
        <v>0</v>
      </c>
      <c r="K17" s="35">
        <f>E17-листопад!F17</f>
        <v>0</v>
      </c>
      <c r="L17" s="47">
        <f t="shared" si="3"/>
        <v>0</v>
      </c>
      <c r="M17" s="50"/>
      <c r="N17" s="136"/>
      <c r="O17" s="141"/>
    </row>
    <row r="18" spans="1:15" s="6" customFormat="1" ht="30.75">
      <c r="A18" s="8"/>
      <c r="B18" s="15" t="s">
        <v>335</v>
      </c>
      <c r="C18" s="59">
        <v>13030200</v>
      </c>
      <c r="D18" s="36">
        <v>19</v>
      </c>
      <c r="E18" s="143">
        <v>107.4</v>
      </c>
      <c r="F18" s="135">
        <f>E18-D18</f>
        <v>88.4</v>
      </c>
      <c r="G18" s="35">
        <f aca="true" t="shared" si="4" ref="G18:G25">E18/D18*100</f>
        <v>565.2631578947369</v>
      </c>
      <c r="H18" s="53">
        <f>E18-31.36</f>
        <v>76.04</v>
      </c>
      <c r="I18" s="138">
        <f>E18/31.36*100</f>
        <v>342.4744897959184</v>
      </c>
      <c r="J18" s="35">
        <f>D18-листопад!E18</f>
        <v>0</v>
      </c>
      <c r="K18" s="35">
        <f>E18-листопад!F18</f>
        <v>0</v>
      </c>
      <c r="L18" s="47">
        <f t="shared" si="3"/>
        <v>0</v>
      </c>
      <c r="M18" s="50"/>
      <c r="N18" s="50"/>
      <c r="O18" s="126"/>
    </row>
    <row r="19" spans="1:15" s="6" customFormat="1" ht="46.5">
      <c r="A19" s="8"/>
      <c r="B19" s="60" t="s">
        <v>204</v>
      </c>
      <c r="C19" s="59">
        <v>14040000</v>
      </c>
      <c r="D19" s="43">
        <v>62210</v>
      </c>
      <c r="E19" s="168">
        <v>70426.38</v>
      </c>
      <c r="F19" s="43">
        <f aca="true" t="shared" si="5" ref="F19:F25">E19-D19</f>
        <v>8216.380000000005</v>
      </c>
      <c r="G19" s="35">
        <f t="shared" si="4"/>
        <v>113.207490757113</v>
      </c>
      <c r="H19" s="179">
        <f>E19-0</f>
        <v>70426.38</v>
      </c>
      <c r="I19" s="180"/>
      <c r="J19" s="35">
        <f>D19-листопад!E19</f>
        <v>547.25</v>
      </c>
      <c r="K19" s="35">
        <f>E19-листопад!F19</f>
        <v>4887.4100000000035</v>
      </c>
      <c r="L19" s="47">
        <f t="shared" si="3"/>
        <v>4340.1600000000035</v>
      </c>
      <c r="M19" s="50">
        <f>K19/J19*100</f>
        <v>893.085427135679</v>
      </c>
      <c r="N19" s="139"/>
      <c r="O19" s="140"/>
    </row>
    <row r="20" spans="1:15" s="6" customFormat="1" ht="15">
      <c r="A20" s="8"/>
      <c r="B20" s="176" t="s">
        <v>207</v>
      </c>
      <c r="C20" s="59">
        <v>18000000</v>
      </c>
      <c r="D20" s="43">
        <f>D21+D25+D27</f>
        <v>189870</v>
      </c>
      <c r="E20" s="169">
        <f>E21+E25+E27+E26</f>
        <v>223108.58</v>
      </c>
      <c r="F20" s="43">
        <f t="shared" si="5"/>
        <v>33238.57999999999</v>
      </c>
      <c r="G20" s="35">
        <f t="shared" si="4"/>
        <v>117.50596724074367</v>
      </c>
      <c r="H20" s="178">
        <f>H21+H25+H26+H27</f>
        <v>50677.77999999999</v>
      </c>
      <c r="I20" s="136"/>
      <c r="J20" s="35">
        <f>D20-листопад!E20</f>
        <v>8546.5</v>
      </c>
      <c r="K20" s="35">
        <f>E20-листопад!F20</f>
        <v>15396.76999999999</v>
      </c>
      <c r="L20" s="47">
        <f t="shared" si="3"/>
        <v>6850.2699999999895</v>
      </c>
      <c r="M20" s="50">
        <f>K20/J20*100</f>
        <v>180.15292809922178</v>
      </c>
      <c r="N20" s="139"/>
      <c r="O20" s="140"/>
    </row>
    <row r="21" spans="1:15" s="6" customFormat="1" ht="15">
      <c r="A21" s="8"/>
      <c r="B21" s="60" t="s">
        <v>243</v>
      </c>
      <c r="C21" s="170">
        <v>18010000</v>
      </c>
      <c r="D21" s="43">
        <f>D22+D23+D24</f>
        <v>110300</v>
      </c>
      <c r="E21" s="169">
        <f>E22+E23+E24</f>
        <v>119601.41</v>
      </c>
      <c r="F21" s="43">
        <f t="shared" si="5"/>
        <v>9301.410000000003</v>
      </c>
      <c r="G21" s="35">
        <f t="shared" si="4"/>
        <v>108.43282864913873</v>
      </c>
      <c r="H21" s="178">
        <f>H22+H23+H24</f>
        <v>37094.84</v>
      </c>
      <c r="I21" s="136"/>
      <c r="J21" s="35">
        <f>D21-листопад!E21</f>
        <v>5785</v>
      </c>
      <c r="K21" s="35">
        <f>E21-листопад!F21</f>
        <v>9851.100000000006</v>
      </c>
      <c r="L21" s="47">
        <f t="shared" si="3"/>
        <v>4066.100000000006</v>
      </c>
      <c r="M21" s="50">
        <f>K21/J21*100</f>
        <v>170.28694900605024</v>
      </c>
      <c r="N21" s="139"/>
      <c r="O21" s="140"/>
    </row>
    <row r="22" spans="1:15" s="6" customFormat="1" ht="15">
      <c r="A22" s="8"/>
      <c r="B22" s="69" t="s">
        <v>209</v>
      </c>
      <c r="C22" s="59"/>
      <c r="D22" s="135">
        <f>10600+100</f>
        <v>10700</v>
      </c>
      <c r="E22" s="144">
        <v>13340.12</v>
      </c>
      <c r="F22" s="135">
        <f t="shared" si="5"/>
        <v>2640.120000000001</v>
      </c>
      <c r="G22" s="137">
        <f t="shared" si="4"/>
        <v>124.67401869158878</v>
      </c>
      <c r="H22" s="136">
        <f>E22-466.04</f>
        <v>12874.08</v>
      </c>
      <c r="I22" s="136">
        <f>E22/466.04*100</f>
        <v>2862.4409921895117</v>
      </c>
      <c r="J22" s="137">
        <f>D22-листопад!E22</f>
        <v>0</v>
      </c>
      <c r="K22" s="137">
        <f>E22-листопад!F22</f>
        <v>626.460000000001</v>
      </c>
      <c r="L22" s="138">
        <f>K22-J22</f>
        <v>626.460000000001</v>
      </c>
      <c r="M22" s="136"/>
      <c r="N22" s="139"/>
      <c r="O22" s="140"/>
    </row>
    <row r="23" spans="1:15" s="6" customFormat="1" ht="15">
      <c r="A23" s="8"/>
      <c r="B23" s="69" t="s">
        <v>210</v>
      </c>
      <c r="C23" s="59"/>
      <c r="D23" s="135">
        <v>2100</v>
      </c>
      <c r="E23" s="144">
        <v>3879.26</v>
      </c>
      <c r="F23" s="135">
        <f t="shared" si="5"/>
        <v>1779.2600000000002</v>
      </c>
      <c r="G23" s="137">
        <f t="shared" si="4"/>
        <v>184.7266666666667</v>
      </c>
      <c r="H23" s="136">
        <f>E23-0</f>
        <v>3879.26</v>
      </c>
      <c r="I23" s="136"/>
      <c r="J23" s="137">
        <f>D23-листопад!E23</f>
        <v>0</v>
      </c>
      <c r="K23" s="137">
        <f>E23-листопад!F23</f>
        <v>230.0600000000004</v>
      </c>
      <c r="L23" s="138">
        <f>K23-J23</f>
        <v>230.0600000000004</v>
      </c>
      <c r="M23" s="136"/>
      <c r="N23" s="139"/>
      <c r="O23" s="140"/>
    </row>
    <row r="24" spans="1:15" s="6" customFormat="1" ht="15">
      <c r="A24" s="8"/>
      <c r="B24" s="69" t="s">
        <v>211</v>
      </c>
      <c r="C24" s="59"/>
      <c r="D24" s="135">
        <v>97500</v>
      </c>
      <c r="E24" s="144">
        <v>102382.03</v>
      </c>
      <c r="F24" s="135">
        <f t="shared" si="5"/>
        <v>4882.029999999999</v>
      </c>
      <c r="G24" s="137">
        <f t="shared" si="4"/>
        <v>105.00721025641026</v>
      </c>
      <c r="H24" s="224">
        <f>E24-82040.53</f>
        <v>20341.5</v>
      </c>
      <c r="I24" s="224">
        <f>E24/82040.53*100</f>
        <v>124.79445220551355</v>
      </c>
      <c r="J24" s="137">
        <f>D24-листопад!E24</f>
        <v>5785</v>
      </c>
      <c r="K24" s="137">
        <f>E24-листопад!F24</f>
        <v>8994.580000000002</v>
      </c>
      <c r="L24" s="138">
        <f>K24-J24</f>
        <v>3209.5800000000017</v>
      </c>
      <c r="M24" s="136">
        <f>K24/J24</f>
        <v>1.5548107173725154</v>
      </c>
      <c r="N24" s="139"/>
      <c r="O24" s="140"/>
    </row>
    <row r="25" spans="1:15" s="6" customFormat="1" ht="15">
      <c r="A25" s="8"/>
      <c r="B25" s="60" t="s">
        <v>244</v>
      </c>
      <c r="C25" s="170">
        <v>18030000</v>
      </c>
      <c r="D25" s="43">
        <v>70</v>
      </c>
      <c r="E25" s="168">
        <v>76.57</v>
      </c>
      <c r="F25" s="135">
        <f t="shared" si="5"/>
        <v>6.569999999999993</v>
      </c>
      <c r="G25" s="35">
        <f t="shared" si="4"/>
        <v>109.38571428571429</v>
      </c>
      <c r="H25" s="178">
        <f>E25-70.04</f>
        <v>6.529999999999987</v>
      </c>
      <c r="I25" s="178">
        <f>E25/70.04*100</f>
        <v>109.32324386065105</v>
      </c>
      <c r="J25" s="35">
        <f>D25-листопад!E25</f>
        <v>6.5</v>
      </c>
      <c r="K25" s="35">
        <f>E25-листопад!F25</f>
        <v>2.4799999999999898</v>
      </c>
      <c r="L25" s="47">
        <f>K25-J25</f>
        <v>-4.02000000000001</v>
      </c>
      <c r="M25" s="50">
        <f>K25/J25*100</f>
        <v>38.153846153846</v>
      </c>
      <c r="N25" s="139"/>
      <c r="O25" s="140"/>
    </row>
    <row r="26" spans="1:15" s="6" customFormat="1" ht="49.5" customHeight="1">
      <c r="A26" s="8"/>
      <c r="B26" s="60" t="s">
        <v>245</v>
      </c>
      <c r="C26" s="170">
        <v>18040000</v>
      </c>
      <c r="D26" s="43"/>
      <c r="E26" s="168">
        <v>-838.98</v>
      </c>
      <c r="F26" s="43">
        <f>E26-D26</f>
        <v>-838.98</v>
      </c>
      <c r="G26" s="35"/>
      <c r="H26" s="178">
        <f>E26-6380.73</f>
        <v>-7219.709999999999</v>
      </c>
      <c r="I26" s="178">
        <f>E26/6380.73*100</f>
        <v>-13.148652270194791</v>
      </c>
      <c r="J26" s="35">
        <f>D26-листопад!E26</f>
        <v>0</v>
      </c>
      <c r="K26" s="35">
        <f>E26-листопад!F26</f>
        <v>-66.11000000000001</v>
      </c>
      <c r="L26" s="47">
        <f aca="true" t="shared" si="6" ref="L26:L32">K26-J26</f>
        <v>-66.11000000000001</v>
      </c>
      <c r="M26" s="50"/>
      <c r="N26" s="139"/>
      <c r="O26" s="140"/>
    </row>
    <row r="27" spans="1:15" s="6" customFormat="1" ht="15">
      <c r="A27" s="8"/>
      <c r="B27" s="60" t="s">
        <v>246</v>
      </c>
      <c r="C27" s="170">
        <v>18050000</v>
      </c>
      <c r="D27" s="43">
        <v>79500</v>
      </c>
      <c r="E27" s="168">
        <v>104269.58</v>
      </c>
      <c r="F27" s="43">
        <f aca="true" t="shared" si="7" ref="F27:F32">E27-D27</f>
        <v>24769.58</v>
      </c>
      <c r="G27" s="35">
        <f>E27/D27*100</f>
        <v>131.15670440251571</v>
      </c>
      <c r="H27" s="132">
        <f>E27-83473.46</f>
        <v>20796.119999999995</v>
      </c>
      <c r="I27" s="132">
        <f>E27/83473.46*100</f>
        <v>124.91345153297826</v>
      </c>
      <c r="J27" s="35">
        <f>D27-листопад!E27</f>
        <v>2755</v>
      </c>
      <c r="K27" s="35">
        <f>E27-листопад!F27</f>
        <v>5609.300000000003</v>
      </c>
      <c r="L27" s="47">
        <f t="shared" si="6"/>
        <v>2854.300000000003</v>
      </c>
      <c r="M27" s="50">
        <f aca="true" t="shared" si="8" ref="M27:M32">K27/J27*100</f>
        <v>203.6043557168785</v>
      </c>
      <c r="N27" s="139"/>
      <c r="O27" s="140"/>
    </row>
    <row r="28" spans="1:15" s="6" customFormat="1" ht="15" hidden="1">
      <c r="A28" s="8"/>
      <c r="B28" s="69" t="s">
        <v>254</v>
      </c>
      <c r="C28" s="134">
        <v>18050200</v>
      </c>
      <c r="D28" s="135">
        <v>0</v>
      </c>
      <c r="E28" s="144">
        <v>-1.15</v>
      </c>
      <c r="F28" s="135">
        <f t="shared" si="7"/>
        <v>-1.15</v>
      </c>
      <c r="G28" s="137"/>
      <c r="H28" s="139">
        <f>E28-1.22</f>
        <v>-2.37</v>
      </c>
      <c r="I28" s="139">
        <f>E28/1.22*100</f>
        <v>-94.26229508196721</v>
      </c>
      <c r="J28" s="137">
        <f>D28-листопад!E28</f>
        <v>0</v>
      </c>
      <c r="K28" s="137">
        <f>E28-листопад!F28</f>
        <v>0</v>
      </c>
      <c r="L28" s="138">
        <f t="shared" si="6"/>
        <v>0</v>
      </c>
      <c r="M28" s="136"/>
      <c r="N28" s="139"/>
      <c r="O28" s="140"/>
    </row>
    <row r="29" spans="1:15" s="6" customFormat="1" ht="15" hidden="1">
      <c r="A29" s="8"/>
      <c r="B29" s="69" t="s">
        <v>255</v>
      </c>
      <c r="C29" s="134">
        <v>18050300</v>
      </c>
      <c r="D29" s="135">
        <v>19200</v>
      </c>
      <c r="E29" s="144">
        <v>24618.59</v>
      </c>
      <c r="F29" s="135">
        <f t="shared" si="7"/>
        <v>5418.59</v>
      </c>
      <c r="G29" s="137">
        <f>E29/D29*100</f>
        <v>128.22182291666667</v>
      </c>
      <c r="H29" s="139">
        <f>E29-23041.29</f>
        <v>1577.2999999999993</v>
      </c>
      <c r="I29" s="139">
        <f>E29/23041.29*100</f>
        <v>106.84553686013238</v>
      </c>
      <c r="J29" s="137">
        <f>D29-листопад!E29</f>
        <v>390</v>
      </c>
      <c r="K29" s="137">
        <f>E29-листопад!F29</f>
        <v>912.0400000000009</v>
      </c>
      <c r="L29" s="138">
        <f t="shared" si="6"/>
        <v>522.0400000000009</v>
      </c>
      <c r="M29" s="136">
        <f t="shared" si="8"/>
        <v>233.85641025641047</v>
      </c>
      <c r="N29" s="139"/>
      <c r="O29" s="140"/>
    </row>
    <row r="30" spans="1:15" s="6" customFormat="1" ht="15" hidden="1">
      <c r="A30" s="8"/>
      <c r="B30" s="69" t="s">
        <v>256</v>
      </c>
      <c r="C30" s="134">
        <v>18050400</v>
      </c>
      <c r="D30" s="135">
        <v>60300</v>
      </c>
      <c r="E30" s="144">
        <v>79616.02</v>
      </c>
      <c r="F30" s="135">
        <f t="shared" si="7"/>
        <v>19316.020000000004</v>
      </c>
      <c r="G30" s="137">
        <f>E30/D30*100</f>
        <v>132.0332006633499</v>
      </c>
      <c r="H30" s="139">
        <f>E30-60430.94</f>
        <v>19185.08</v>
      </c>
      <c r="I30" s="139">
        <f>E30/60430.94*100</f>
        <v>131.74711497123826</v>
      </c>
      <c r="J30" s="137">
        <f>D30-листопад!E30</f>
        <v>2365</v>
      </c>
      <c r="K30" s="137">
        <f>E30-листопад!F30</f>
        <v>4693.650000000009</v>
      </c>
      <c r="L30" s="138">
        <f t="shared" si="6"/>
        <v>2328.6500000000087</v>
      </c>
      <c r="M30" s="136">
        <f t="shared" si="8"/>
        <v>198.46300211416528</v>
      </c>
      <c r="N30" s="139"/>
      <c r="O30" s="140"/>
    </row>
    <row r="31" spans="1:15" s="6" customFormat="1" ht="15" hidden="1">
      <c r="A31" s="8"/>
      <c r="B31" s="69" t="s">
        <v>257</v>
      </c>
      <c r="C31" s="134">
        <v>18050500</v>
      </c>
      <c r="D31" s="135">
        <v>0</v>
      </c>
      <c r="E31" s="144">
        <v>36.13</v>
      </c>
      <c r="F31" s="135">
        <f t="shared" si="7"/>
        <v>36.13</v>
      </c>
      <c r="G31" s="137"/>
      <c r="H31" s="139">
        <f>E31-0</f>
        <v>36.13</v>
      </c>
      <c r="I31" s="139"/>
      <c r="J31" s="137">
        <f>D31-листопад!E31</f>
        <v>0</v>
      </c>
      <c r="K31" s="137">
        <f>E31-листопад!F31</f>
        <v>3.6200000000000045</v>
      </c>
      <c r="L31" s="138">
        <f t="shared" si="6"/>
        <v>3.6200000000000045</v>
      </c>
      <c r="M31" s="136"/>
      <c r="N31" s="139"/>
      <c r="O31" s="140"/>
    </row>
    <row r="32" spans="1:15" s="6" customFormat="1" ht="15">
      <c r="A32" s="8"/>
      <c r="B32" s="60" t="s">
        <v>132</v>
      </c>
      <c r="C32" s="59">
        <v>19010000</v>
      </c>
      <c r="D32" s="43">
        <v>7500</v>
      </c>
      <c r="E32" s="168">
        <v>6768.9</v>
      </c>
      <c r="F32" s="43">
        <f t="shared" si="7"/>
        <v>-731.1000000000004</v>
      </c>
      <c r="G32" s="35">
        <f>E32/D32*100</f>
        <v>90.252</v>
      </c>
      <c r="H32" s="178">
        <f>E32-9077.84</f>
        <v>-2308.9400000000005</v>
      </c>
      <c r="I32" s="178">
        <f>E32/9077.84*100</f>
        <v>74.56509478025609</v>
      </c>
      <c r="J32" s="35">
        <f>D32-листопад!E32</f>
        <v>0.1999999999998181</v>
      </c>
      <c r="K32" s="35">
        <f>E32-листопад!F32</f>
        <v>4.549999999999272</v>
      </c>
      <c r="L32" s="47">
        <f t="shared" si="6"/>
        <v>4.349999999999454</v>
      </c>
      <c r="M32" s="50">
        <f t="shared" si="8"/>
        <v>2275.0000000017053</v>
      </c>
      <c r="N32" s="139"/>
      <c r="O32" s="140"/>
    </row>
    <row r="33" spans="1:15" s="6" customFormat="1" ht="17.25">
      <c r="A33" s="7"/>
      <c r="B33" s="19" t="s">
        <v>70</v>
      </c>
      <c r="C33" s="93">
        <v>20000000</v>
      </c>
      <c r="D33" s="18">
        <f>D34+D35+D36+D37+D38+D41+D42+D47+D48+D52+D40+D39</f>
        <v>37989.39</v>
      </c>
      <c r="E33" s="18">
        <f>E34+E35+E36+E37+E38+E41+E42+E47+E48+E52+E40+E39+E51</f>
        <v>50680.76</v>
      </c>
      <c r="F33" s="44">
        <f>E33-D33</f>
        <v>12691.370000000003</v>
      </c>
      <c r="G33" s="45">
        <f>E33/D33*100</f>
        <v>133.4076698783529</v>
      </c>
      <c r="H33" s="18">
        <f>H34+H35+H36+H37+H38+H41+H42+H47+H48+H52+H40</f>
        <v>37661.72</v>
      </c>
      <c r="I33" s="18"/>
      <c r="J33" s="18">
        <f>J34+J35+J36+J37+J38+J41+J42+J47+J48+J52+J40+J39</f>
        <v>2044.819999999998</v>
      </c>
      <c r="K33" s="18">
        <f>K34+K35+K36+K37+K38+K41+K42+K47+K48+K52+K40+K39</f>
        <v>8938.88</v>
      </c>
      <c r="L33" s="49">
        <f>K33-J33</f>
        <v>6894.060000000001</v>
      </c>
      <c r="M33" s="31">
        <f>K33/J33*100</f>
        <v>437.14752398744184</v>
      </c>
      <c r="N33" s="31">
        <f>K33-1017.63</f>
        <v>7921.249999999999</v>
      </c>
      <c r="O33" s="127">
        <f>K33/1017.63</f>
        <v>8.784017766771813</v>
      </c>
    </row>
    <row r="34" spans="1:15" s="6" customFormat="1" ht="46.5">
      <c r="A34" s="8"/>
      <c r="B34" s="60" t="s">
        <v>321</v>
      </c>
      <c r="C34" s="59">
        <v>21010301</v>
      </c>
      <c r="D34" s="36">
        <v>0</v>
      </c>
      <c r="E34" s="143">
        <v>0.55</v>
      </c>
      <c r="F34" s="43">
        <f>E34-D34</f>
        <v>0.55</v>
      </c>
      <c r="G34" s="35"/>
      <c r="H34" s="50">
        <f>E34-153.52</f>
        <v>-152.97</v>
      </c>
      <c r="I34" s="50">
        <f>E34/153.52*100</f>
        <v>0.3582595101615425</v>
      </c>
      <c r="J34" s="35">
        <f>D34-листопад!E34</f>
        <v>-100</v>
      </c>
      <c r="K34" s="35">
        <f>E34-листопад!F34</f>
        <v>0.3400000000000001</v>
      </c>
      <c r="L34" s="47">
        <f>K34-J34</f>
        <v>100.34</v>
      </c>
      <c r="M34" s="50">
        <f>K34/J34*100</f>
        <v>-0.3400000000000001</v>
      </c>
      <c r="N34" s="50">
        <f>K34-0</f>
        <v>0.3400000000000001</v>
      </c>
      <c r="O34" s="126" t="e">
        <f>K34/0</f>
        <v>#DIV/0!</v>
      </c>
    </row>
    <row r="35" spans="1:15" s="6" customFormat="1" ht="30.75">
      <c r="A35" s="8"/>
      <c r="B35" s="227" t="s">
        <v>214</v>
      </c>
      <c r="C35" s="57">
        <v>21050000</v>
      </c>
      <c r="D35" s="36">
        <v>10392.39</v>
      </c>
      <c r="E35" s="143">
        <v>19275.42</v>
      </c>
      <c r="F35" s="43">
        <f aca="true" t="shared" si="9" ref="F35:F49">E35-D35</f>
        <v>8883.029999999999</v>
      </c>
      <c r="G35" s="35">
        <f aca="true" t="shared" si="10" ref="G35:G53">E35/D35*100</f>
        <v>185.4762956355564</v>
      </c>
      <c r="H35" s="50">
        <f>E35-0</f>
        <v>19275.42</v>
      </c>
      <c r="I35" s="50"/>
      <c r="J35" s="35">
        <f>D35-листопад!E35</f>
        <v>808.9199999999983</v>
      </c>
      <c r="K35" s="35">
        <f>E35-листопад!F35</f>
        <v>6401.109999999999</v>
      </c>
      <c r="L35" s="47">
        <f aca="true" t="shared" si="11" ref="L35:L54">K35-J35</f>
        <v>5592.1900000000005</v>
      </c>
      <c r="M35" s="50">
        <f aca="true" t="shared" si="12" ref="M35:M53">K35/J35*100</f>
        <v>791.3155812688539</v>
      </c>
      <c r="N35" s="50">
        <f>K35-0</f>
        <v>6401.109999999999</v>
      </c>
      <c r="O35" s="126" t="e">
        <f>K35/0</f>
        <v>#DIV/0!</v>
      </c>
    </row>
    <row r="36" spans="1:15" s="6" customFormat="1" ht="15">
      <c r="A36" s="8"/>
      <c r="B36" s="227" t="s">
        <v>169</v>
      </c>
      <c r="C36" s="57">
        <v>21080500</v>
      </c>
      <c r="D36" s="36">
        <v>240</v>
      </c>
      <c r="E36" s="143">
        <v>445.64</v>
      </c>
      <c r="F36" s="43">
        <f t="shared" si="9"/>
        <v>205.64</v>
      </c>
      <c r="G36" s="35">
        <f t="shared" si="10"/>
        <v>185.68333333333334</v>
      </c>
      <c r="H36" s="50">
        <f>E36-275.57</f>
        <v>170.07</v>
      </c>
      <c r="I36" s="50">
        <f>E36/275.57*100</f>
        <v>161.7157165148601</v>
      </c>
      <c r="J36" s="35">
        <f>D36-листопад!E36</f>
        <v>0</v>
      </c>
      <c r="K36" s="35">
        <f>E36-листопад!F36</f>
        <v>65.70999999999998</v>
      </c>
      <c r="L36" s="47">
        <f t="shared" si="11"/>
        <v>65.70999999999998</v>
      </c>
      <c r="M36" s="50"/>
      <c r="N36" s="50">
        <f>K36-4.23</f>
        <v>61.479999999999976</v>
      </c>
      <c r="O36" s="126">
        <f>K36/4.23</f>
        <v>15.534278959810868</v>
      </c>
    </row>
    <row r="37" spans="1:15" s="6" customFormat="1" ht="30.75">
      <c r="A37" s="8"/>
      <c r="B37" s="30" t="s">
        <v>123</v>
      </c>
      <c r="C37" s="94">
        <v>21080900</v>
      </c>
      <c r="D37" s="36">
        <v>0</v>
      </c>
      <c r="E37" s="143">
        <v>1.02</v>
      </c>
      <c r="F37" s="43">
        <f t="shared" si="9"/>
        <v>1.02</v>
      </c>
      <c r="G37" s="35"/>
      <c r="H37" s="50">
        <f>E37-6.28</f>
        <v>-5.26</v>
      </c>
      <c r="I37" s="50">
        <f>E37/6.28*100</f>
        <v>16.24203821656051</v>
      </c>
      <c r="J37" s="35">
        <f>D37-листопад!E37</f>
        <v>-4.5</v>
      </c>
      <c r="K37" s="35">
        <f>E37-листопад!F37</f>
        <v>0</v>
      </c>
      <c r="L37" s="47">
        <f t="shared" si="11"/>
        <v>4.5</v>
      </c>
      <c r="M37" s="50">
        <f t="shared" si="12"/>
        <v>0</v>
      </c>
      <c r="N37" s="50">
        <f>K37-0</f>
        <v>0</v>
      </c>
      <c r="O37" s="126"/>
    </row>
    <row r="38" spans="1:15" s="6" customFormat="1" ht="15">
      <c r="A38" s="8"/>
      <c r="B38" s="228" t="s">
        <v>90</v>
      </c>
      <c r="C38" s="95">
        <v>21081100</v>
      </c>
      <c r="D38" s="36">
        <v>140</v>
      </c>
      <c r="E38" s="143">
        <v>126.46</v>
      </c>
      <c r="F38" s="43">
        <f t="shared" si="9"/>
        <v>-13.540000000000006</v>
      </c>
      <c r="G38" s="35">
        <f t="shared" si="10"/>
        <v>90.32857142857142</v>
      </c>
      <c r="H38" s="50">
        <f>E38-131.92</f>
        <v>-5.459999999999994</v>
      </c>
      <c r="I38" s="50">
        <f>E38/131.92*100</f>
        <v>95.86112795633717</v>
      </c>
      <c r="J38" s="35">
        <f>D38-листопад!E38</f>
        <v>10</v>
      </c>
      <c r="K38" s="35">
        <f>E38-листопад!F38</f>
        <v>-141.38</v>
      </c>
      <c r="L38" s="47">
        <f t="shared" si="11"/>
        <v>-151.38</v>
      </c>
      <c r="M38" s="50">
        <f t="shared" si="12"/>
        <v>-1413.8</v>
      </c>
      <c r="N38" s="50">
        <f>K38-9.02</f>
        <v>-150.4</v>
      </c>
      <c r="O38" s="126">
        <f>K38/9.02</f>
        <v>-15.674057649667406</v>
      </c>
    </row>
    <row r="39" spans="1:15" s="6" customFormat="1" ht="46.5" hidden="1">
      <c r="A39" s="8"/>
      <c r="B39" s="228" t="s">
        <v>225</v>
      </c>
      <c r="C39" s="67">
        <v>21081500</v>
      </c>
      <c r="D39" s="36"/>
      <c r="E39" s="143">
        <v>0</v>
      </c>
      <c r="F39" s="43">
        <f t="shared" si="9"/>
        <v>0</v>
      </c>
      <c r="G39" s="35" t="e">
        <f t="shared" si="10"/>
        <v>#DIV/0!</v>
      </c>
      <c r="H39" s="50">
        <f>E39-0</f>
        <v>0</v>
      </c>
      <c r="I39" s="50"/>
      <c r="J39" s="35">
        <f>D39-листопад!E39</f>
        <v>0</v>
      </c>
      <c r="K39" s="35">
        <f>E39-листопад!F39</f>
        <v>0</v>
      </c>
      <c r="L39" s="47">
        <f t="shared" si="11"/>
        <v>0</v>
      </c>
      <c r="M39" s="50" t="e">
        <f t="shared" si="12"/>
        <v>#DIV/0!</v>
      </c>
      <c r="N39" s="50"/>
      <c r="O39" s="126"/>
    </row>
    <row r="40" spans="1:15" s="6" customFormat="1" ht="15">
      <c r="A40" s="8"/>
      <c r="B40" s="41" t="s">
        <v>222</v>
      </c>
      <c r="C40" s="95">
        <v>22012500</v>
      </c>
      <c r="D40" s="36">
        <v>9000</v>
      </c>
      <c r="E40" s="143">
        <v>9902.75</v>
      </c>
      <c r="F40" s="43">
        <f t="shared" si="9"/>
        <v>902.75</v>
      </c>
      <c r="G40" s="35">
        <f t="shared" si="10"/>
        <v>110.03055555555557</v>
      </c>
      <c r="H40" s="50">
        <f>E40-0</f>
        <v>9902.75</v>
      </c>
      <c r="I40" s="50"/>
      <c r="J40" s="35">
        <f>D40-листопад!E40</f>
        <v>100</v>
      </c>
      <c r="K40" s="35">
        <f>E40-листопад!F40</f>
        <v>1018.1100000000006</v>
      </c>
      <c r="L40" s="47">
        <f t="shared" si="11"/>
        <v>918.1100000000006</v>
      </c>
      <c r="M40" s="50">
        <f t="shared" si="12"/>
        <v>1018.1100000000006</v>
      </c>
      <c r="N40" s="50"/>
      <c r="O40" s="126"/>
    </row>
    <row r="41" spans="1:15" s="6" customFormat="1" ht="46.5">
      <c r="A41" s="8"/>
      <c r="B41" s="228" t="s">
        <v>331</v>
      </c>
      <c r="C41" s="67">
        <v>22080401</v>
      </c>
      <c r="D41" s="36">
        <v>6900</v>
      </c>
      <c r="E41" s="143">
        <v>8872.3</v>
      </c>
      <c r="F41" s="43">
        <f t="shared" si="9"/>
        <v>1972.2999999999993</v>
      </c>
      <c r="G41" s="35">
        <f t="shared" si="10"/>
        <v>128.5840579710145</v>
      </c>
      <c r="H41" s="50">
        <f>E41-7153.35</f>
        <v>1718.949999999999</v>
      </c>
      <c r="I41" s="50">
        <f>E41/7153.35*100</f>
        <v>124.02999993010266</v>
      </c>
      <c r="J41" s="35">
        <f>D41-листопад!E41</f>
        <v>550</v>
      </c>
      <c r="K41" s="35">
        <f>E41-листопад!F41</f>
        <v>691.5199999999995</v>
      </c>
      <c r="L41" s="47">
        <f t="shared" si="11"/>
        <v>141.51999999999953</v>
      </c>
      <c r="M41" s="50">
        <f t="shared" si="12"/>
        <v>125.73090909090901</v>
      </c>
      <c r="N41" s="50">
        <f>K41-647.49</f>
        <v>44.02999999999952</v>
      </c>
      <c r="O41" s="126">
        <f>K41/647.49</f>
        <v>1.068001050209269</v>
      </c>
    </row>
    <row r="42" spans="1:15" s="6" customFormat="1" ht="15">
      <c r="A42" s="8"/>
      <c r="B42" s="15" t="s">
        <v>80</v>
      </c>
      <c r="C42" s="59">
        <v>22090000</v>
      </c>
      <c r="D42" s="36">
        <v>7100</v>
      </c>
      <c r="E42" s="143">
        <v>7235.66</v>
      </c>
      <c r="F42" s="43">
        <f t="shared" si="9"/>
        <v>135.65999999999985</v>
      </c>
      <c r="G42" s="35">
        <f t="shared" si="10"/>
        <v>101.9107042253521</v>
      </c>
      <c r="H42" s="50">
        <f>E42-1075.37</f>
        <v>6160.29</v>
      </c>
      <c r="I42" s="50">
        <f>E42/1075.37*100</f>
        <v>672.8530645266281</v>
      </c>
      <c r="J42" s="35">
        <f>D42-листопад!E42</f>
        <v>288.39999999999964</v>
      </c>
      <c r="K42" s="35">
        <f>E42-листопад!F42</f>
        <v>474.34000000000015</v>
      </c>
      <c r="L42" s="47">
        <f t="shared" si="11"/>
        <v>185.9400000000005</v>
      </c>
      <c r="M42" s="50">
        <f t="shared" si="12"/>
        <v>164.47295423023604</v>
      </c>
      <c r="N42" s="50">
        <f>K42-79.51</f>
        <v>394.83000000000015</v>
      </c>
      <c r="O42" s="126">
        <f>K42/79.51</f>
        <v>5.9657904666079755</v>
      </c>
    </row>
    <row r="43" spans="1:15" s="6" customFormat="1" ht="15" hidden="1">
      <c r="A43" s="8"/>
      <c r="B43" s="69" t="s">
        <v>271</v>
      </c>
      <c r="C43" s="204">
        <v>22090100</v>
      </c>
      <c r="D43" s="135">
        <v>1100</v>
      </c>
      <c r="E43" s="144">
        <v>1089.08</v>
      </c>
      <c r="F43" s="135">
        <f t="shared" si="9"/>
        <v>-10.920000000000073</v>
      </c>
      <c r="G43" s="137">
        <f t="shared" si="10"/>
        <v>99.00727272727272</v>
      </c>
      <c r="H43" s="136">
        <f>E43-948.18</f>
        <v>140.89999999999998</v>
      </c>
      <c r="I43" s="136">
        <f>E43/948.18*100</f>
        <v>114.86004767027357</v>
      </c>
      <c r="J43" s="137">
        <f>D43-листопад!E43</f>
        <v>90</v>
      </c>
      <c r="K43" s="137">
        <f>E43-листопад!F43</f>
        <v>71.45999999999992</v>
      </c>
      <c r="L43" s="138">
        <f t="shared" si="11"/>
        <v>-18.540000000000077</v>
      </c>
      <c r="M43" s="136">
        <f t="shared" si="12"/>
        <v>79.39999999999992</v>
      </c>
      <c r="N43" s="50"/>
      <c r="O43" s="126"/>
    </row>
    <row r="44" spans="1:15" s="6" customFormat="1" ht="15" hidden="1">
      <c r="A44" s="8"/>
      <c r="B44" s="69" t="s">
        <v>268</v>
      </c>
      <c r="C44" s="204">
        <v>22090200</v>
      </c>
      <c r="D44" s="135">
        <v>80</v>
      </c>
      <c r="E44" s="144">
        <v>44.23</v>
      </c>
      <c r="F44" s="135">
        <f t="shared" si="9"/>
        <v>-35.77</v>
      </c>
      <c r="G44" s="137">
        <f t="shared" si="10"/>
        <v>55.2875</v>
      </c>
      <c r="H44" s="136">
        <f>E44-0</f>
        <v>44.23</v>
      </c>
      <c r="I44" s="136"/>
      <c r="J44" s="137">
        <f>D44-листопад!E44</f>
        <v>0</v>
      </c>
      <c r="K44" s="137">
        <f>E44-листопад!F44</f>
        <v>0.0799999999999983</v>
      </c>
      <c r="L44" s="138">
        <f t="shared" si="11"/>
        <v>0.0799999999999983</v>
      </c>
      <c r="M44" s="136"/>
      <c r="N44" s="50"/>
      <c r="O44" s="126"/>
    </row>
    <row r="45" spans="1:15" s="6" customFormat="1" ht="15" hidden="1">
      <c r="A45" s="8"/>
      <c r="B45" s="69" t="s">
        <v>269</v>
      </c>
      <c r="C45" s="204">
        <v>22090300</v>
      </c>
      <c r="D45" s="135">
        <v>2</v>
      </c>
      <c r="E45" s="144">
        <v>0.75</v>
      </c>
      <c r="F45" s="135">
        <f t="shared" si="9"/>
        <v>-1.25</v>
      </c>
      <c r="G45" s="137">
        <f t="shared" si="10"/>
        <v>37.5</v>
      </c>
      <c r="H45" s="136">
        <f>E45-0</f>
        <v>0.75</v>
      </c>
      <c r="I45" s="136"/>
      <c r="J45" s="137">
        <f>D45-листопад!E45</f>
        <v>0.3999999999999999</v>
      </c>
      <c r="K45" s="137">
        <f>E45-листопад!F45</f>
        <v>0</v>
      </c>
      <c r="L45" s="138">
        <f t="shared" si="11"/>
        <v>-0.3999999999999999</v>
      </c>
      <c r="M45" s="136">
        <f t="shared" si="12"/>
        <v>0</v>
      </c>
      <c r="N45" s="50"/>
      <c r="O45" s="126"/>
    </row>
    <row r="46" spans="1:15" s="6" customFormat="1" ht="15" hidden="1">
      <c r="A46" s="8"/>
      <c r="B46" s="69" t="s">
        <v>270</v>
      </c>
      <c r="C46" s="204">
        <v>22090400</v>
      </c>
      <c r="D46" s="135">
        <v>5918</v>
      </c>
      <c r="E46" s="144">
        <v>6101.6</v>
      </c>
      <c r="F46" s="135">
        <f t="shared" si="9"/>
        <v>183.60000000000036</v>
      </c>
      <c r="G46" s="137">
        <f t="shared" si="10"/>
        <v>103.1023994592768</v>
      </c>
      <c r="H46" s="136">
        <f>E46-127.2</f>
        <v>5974.400000000001</v>
      </c>
      <c r="I46" s="136">
        <f>E46/127.2*100</f>
        <v>4796.855345911949</v>
      </c>
      <c r="J46" s="137">
        <f>D46-листопад!E46</f>
        <v>198</v>
      </c>
      <c r="K46" s="137">
        <f>E46-листопад!F46</f>
        <v>402.8000000000002</v>
      </c>
      <c r="L46" s="138">
        <f t="shared" si="11"/>
        <v>204.80000000000018</v>
      </c>
      <c r="M46" s="136">
        <f t="shared" si="12"/>
        <v>203.43434343434353</v>
      </c>
      <c r="N46" s="50"/>
      <c r="O46" s="126"/>
    </row>
    <row r="47" spans="1:15" s="6" customFormat="1" ht="29.25" customHeight="1">
      <c r="A47" s="8"/>
      <c r="B47" s="15" t="s">
        <v>96</v>
      </c>
      <c r="C47" s="13" t="s">
        <v>97</v>
      </c>
      <c r="D47" s="36">
        <v>4</v>
      </c>
      <c r="E47" s="143">
        <v>10.65</v>
      </c>
      <c r="F47" s="43">
        <f t="shared" si="9"/>
        <v>6.65</v>
      </c>
      <c r="G47" s="35">
        <f t="shared" si="10"/>
        <v>266.25</v>
      </c>
      <c r="H47" s="50">
        <f>E47-7.58</f>
        <v>3.0700000000000003</v>
      </c>
      <c r="I47" s="50"/>
      <c r="J47" s="35">
        <f>D47-листопад!E47</f>
        <v>4</v>
      </c>
      <c r="K47" s="35">
        <f>E47-листопад!F47</f>
        <v>6.76</v>
      </c>
      <c r="L47" s="47">
        <f t="shared" si="11"/>
        <v>2.76</v>
      </c>
      <c r="M47" s="50">
        <f t="shared" si="12"/>
        <v>169</v>
      </c>
      <c r="N47" s="50">
        <f>K47-0</f>
        <v>6.76</v>
      </c>
      <c r="O47" s="126"/>
    </row>
    <row r="48" spans="1:15" s="6" customFormat="1" ht="15.75" customHeight="1">
      <c r="A48" s="8"/>
      <c r="B48" s="229" t="s">
        <v>73</v>
      </c>
      <c r="C48" s="13" t="s">
        <v>99</v>
      </c>
      <c r="D48" s="36">
        <v>4200</v>
      </c>
      <c r="E48" s="143">
        <v>4790.19</v>
      </c>
      <c r="F48" s="43">
        <f t="shared" si="9"/>
        <v>590.1899999999996</v>
      </c>
      <c r="G48" s="35">
        <f t="shared" si="10"/>
        <v>114.05214285714284</v>
      </c>
      <c r="H48" s="50">
        <f>E48-4202.1</f>
        <v>588.0899999999992</v>
      </c>
      <c r="I48" s="50">
        <f>E48/4202.1*100</f>
        <v>113.99514528450058</v>
      </c>
      <c r="J48" s="35">
        <f>D48-листопад!E48</f>
        <v>380</v>
      </c>
      <c r="K48" s="35">
        <f>E48-листопад!F48</f>
        <v>422.3699999999999</v>
      </c>
      <c r="L48" s="47">
        <f t="shared" si="11"/>
        <v>42.36999999999989</v>
      </c>
      <c r="M48" s="50">
        <f t="shared" si="12"/>
        <v>111.14999999999998</v>
      </c>
      <c r="N48" s="50">
        <f>K48-277.38</f>
        <v>144.9899999999999</v>
      </c>
      <c r="O48" s="126">
        <f>K48/277.38</f>
        <v>1.5227125243348472</v>
      </c>
    </row>
    <row r="49" spans="1:15" s="6" customFormat="1" ht="15" hidden="1">
      <c r="A49" s="8"/>
      <c r="B49" s="14" t="s">
        <v>102</v>
      </c>
      <c r="C49" s="83" t="s">
        <v>103</v>
      </c>
      <c r="D49" s="36">
        <v>0</v>
      </c>
      <c r="E49" s="143">
        <v>0</v>
      </c>
      <c r="F49" s="43">
        <f t="shared" si="9"/>
        <v>0</v>
      </c>
      <c r="G49" s="35" t="e">
        <f t="shared" si="10"/>
        <v>#DIV/0!</v>
      </c>
      <c r="H49" s="50"/>
      <c r="I49" s="50">
        <f>E49</f>
        <v>0</v>
      </c>
      <c r="J49" s="35">
        <f>D49-жовтень!E50</f>
        <v>0</v>
      </c>
      <c r="K49" s="35">
        <f>E49-листопад!F49</f>
        <v>0</v>
      </c>
      <c r="L49" s="47">
        <f t="shared" si="11"/>
        <v>0</v>
      </c>
      <c r="M49" s="50" t="e">
        <f t="shared" si="12"/>
        <v>#DIV/0!</v>
      </c>
      <c r="N49" s="50"/>
      <c r="O49" s="126">
        <f>K49/277.38</f>
        <v>0</v>
      </c>
    </row>
    <row r="50" spans="1:15" s="6" customFormat="1" ht="30.75">
      <c r="A50" s="8"/>
      <c r="B50" s="69" t="s">
        <v>127</v>
      </c>
      <c r="C50" s="83"/>
      <c r="D50" s="135"/>
      <c r="E50" s="144">
        <v>1224.4</v>
      </c>
      <c r="F50" s="43"/>
      <c r="G50" s="35"/>
      <c r="H50" s="138">
        <f>E50-1023.35</f>
        <v>201.05000000000007</v>
      </c>
      <c r="I50" s="138">
        <f>E50/1023.35*100</f>
        <v>119.64625983290176</v>
      </c>
      <c r="J50" s="137">
        <f>D50-листопад!E50</f>
        <v>0</v>
      </c>
      <c r="K50" s="137">
        <f>E50-листопад!F50</f>
        <v>82.40000000000009</v>
      </c>
      <c r="L50" s="138">
        <f t="shared" si="11"/>
        <v>82.40000000000009</v>
      </c>
      <c r="M50" s="136"/>
      <c r="N50" s="50">
        <f>K50-64.93</f>
        <v>17.470000000000084</v>
      </c>
      <c r="O50" s="126">
        <f>K50/64.93</f>
        <v>1.269058986600956</v>
      </c>
    </row>
    <row r="51" spans="1:15" s="6" customFormat="1" ht="15">
      <c r="A51" s="8"/>
      <c r="B51" s="229" t="s">
        <v>100</v>
      </c>
      <c r="C51" s="225" t="s">
        <v>101</v>
      </c>
      <c r="D51" s="43">
        <v>0</v>
      </c>
      <c r="E51" s="168">
        <v>0.07</v>
      </c>
      <c r="F51" s="43">
        <f>E51-D51</f>
        <v>0.07</v>
      </c>
      <c r="G51" s="35"/>
      <c r="H51" s="138"/>
      <c r="I51" s="138"/>
      <c r="J51" s="226">
        <f>D51-листопад!E51</f>
        <v>0</v>
      </c>
      <c r="K51" s="226">
        <f>E51-листопад!F51</f>
        <v>0</v>
      </c>
      <c r="L51" s="47">
        <f t="shared" si="11"/>
        <v>0</v>
      </c>
      <c r="M51" s="50"/>
      <c r="N51" s="50"/>
      <c r="O51" s="126"/>
    </row>
    <row r="52" spans="1:15" s="6" customFormat="1" ht="44.25" customHeight="1">
      <c r="A52" s="8"/>
      <c r="B52" s="14" t="s">
        <v>333</v>
      </c>
      <c r="C52" s="59">
        <v>24061900</v>
      </c>
      <c r="D52" s="36">
        <v>13</v>
      </c>
      <c r="E52" s="143">
        <v>20.05</v>
      </c>
      <c r="F52" s="43">
        <f>E52-D52</f>
        <v>7.050000000000001</v>
      </c>
      <c r="G52" s="35">
        <f t="shared" si="10"/>
        <v>154.23076923076923</v>
      </c>
      <c r="H52" s="50">
        <f>E52-13.28</f>
        <v>6.770000000000001</v>
      </c>
      <c r="I52" s="50">
        <f>E52/13.28*100</f>
        <v>150.97891566265062</v>
      </c>
      <c r="J52" s="226">
        <f>D52-листопад!E52</f>
        <v>8</v>
      </c>
      <c r="K52" s="226">
        <f>E52-листопад!F52</f>
        <v>0</v>
      </c>
      <c r="L52" s="47">
        <f t="shared" si="11"/>
        <v>-8</v>
      </c>
      <c r="M52" s="50">
        <f t="shared" si="12"/>
        <v>0</v>
      </c>
      <c r="N52" s="50"/>
      <c r="O52" s="126"/>
    </row>
    <row r="53" spans="1:15" s="6" customFormat="1" ht="43.5" customHeight="1">
      <c r="A53" s="8"/>
      <c r="B53" s="14" t="s">
        <v>332</v>
      </c>
      <c r="C53" s="59">
        <v>31010200</v>
      </c>
      <c r="D53" s="36">
        <v>26.5</v>
      </c>
      <c r="E53" s="143">
        <v>26.28</v>
      </c>
      <c r="F53" s="43">
        <f>E53-D53</f>
        <v>-0.21999999999999886</v>
      </c>
      <c r="G53" s="35">
        <f t="shared" si="10"/>
        <v>99.16981132075472</v>
      </c>
      <c r="H53" s="50">
        <f>E53-26.43</f>
        <v>-0.14999999999999858</v>
      </c>
      <c r="I53" s="50">
        <f>E53/26.43*100</f>
        <v>99.43246311010216</v>
      </c>
      <c r="J53" s="226">
        <f>D53-листопад!E53</f>
        <v>2.6999999999999993</v>
      </c>
      <c r="K53" s="226">
        <f>E53-листопад!F53</f>
        <v>-1.7999999999999972</v>
      </c>
      <c r="L53" s="47">
        <f t="shared" si="11"/>
        <v>-4.4999999999999964</v>
      </c>
      <c r="M53" s="50">
        <f t="shared" si="12"/>
        <v>-66.66666666666657</v>
      </c>
      <c r="N53" s="50"/>
      <c r="O53" s="126"/>
    </row>
    <row r="54" spans="1:15" s="6" customFormat="1" ht="30.75">
      <c r="A54" s="8"/>
      <c r="B54" s="14" t="s">
        <v>165</v>
      </c>
      <c r="C54" s="59">
        <v>31020000</v>
      </c>
      <c r="D54" s="36">
        <v>0</v>
      </c>
      <c r="E54" s="143">
        <v>0.58</v>
      </c>
      <c r="F54" s="135">
        <f>E54-D54</f>
        <v>0.58</v>
      </c>
      <c r="G54" s="35"/>
      <c r="H54" s="50">
        <f>E54-0.38</f>
        <v>0.19999999999999996</v>
      </c>
      <c r="I54" s="50"/>
      <c r="J54" s="35">
        <f>D54-листопад!E54</f>
        <v>0</v>
      </c>
      <c r="K54" s="35">
        <f>E54-листопад!F54</f>
        <v>0.039999999999999925</v>
      </c>
      <c r="L54" s="47">
        <f t="shared" si="11"/>
        <v>0.039999999999999925</v>
      </c>
      <c r="M54" s="50"/>
      <c r="N54" s="50"/>
      <c r="O54" s="126"/>
    </row>
    <row r="55" spans="1:15" s="6" customFormat="1" ht="17.25">
      <c r="A55" s="9"/>
      <c r="B55" s="17" t="s">
        <v>109</v>
      </c>
      <c r="C55" s="84"/>
      <c r="D55" s="18">
        <f>D8+D33+D53+D54</f>
        <v>609804.89</v>
      </c>
      <c r="E55" s="18">
        <f>E8+E33+E53+E54</f>
        <v>723400.63</v>
      </c>
      <c r="F55" s="44">
        <f>E55-D55</f>
        <v>113595.73999999999</v>
      </c>
      <c r="G55" s="45">
        <f>E55/D55*100</f>
        <v>118.62821073802803</v>
      </c>
      <c r="H55" s="31">
        <f>H8+H33+H53+H54</f>
        <v>217924.01800000004</v>
      </c>
      <c r="I55" s="31">
        <f>E55/(E55-H55)*100</f>
        <v>143.11258183395438</v>
      </c>
      <c r="J55" s="18">
        <f>J8+J33+J53+J54</f>
        <v>33192.95</v>
      </c>
      <c r="K55" s="18">
        <f>K8+K33+K53+K54</f>
        <v>72820.34999999993</v>
      </c>
      <c r="L55" s="49">
        <f>K55-J55</f>
        <v>39627.399999999936</v>
      </c>
      <c r="M55" s="31">
        <f>K55/J55*100</f>
        <v>219.38498988490008</v>
      </c>
      <c r="N55" s="31">
        <f>K55-34768</f>
        <v>38052.34999999993</v>
      </c>
      <c r="O55" s="171">
        <f>K55/34768</f>
        <v>2.0944647376898278</v>
      </c>
    </row>
    <row r="56" spans="1:15" s="66" customFormat="1" ht="17.25" hidden="1">
      <c r="A56" s="62"/>
      <c r="B56" s="75"/>
      <c r="C56" s="85"/>
      <c r="D56" s="64"/>
      <c r="E56" s="112"/>
      <c r="F56" s="102"/>
      <c r="G56" s="65"/>
      <c r="H56" s="46"/>
      <c r="I56" s="46"/>
      <c r="J56" s="65"/>
      <c r="K56" s="64"/>
      <c r="L56" s="109"/>
      <c r="M56" s="46"/>
      <c r="N56" s="46"/>
      <c r="O56" s="128"/>
    </row>
    <row r="57" spans="1:15" s="66" customFormat="1" ht="17.25" hidden="1">
      <c r="A57" s="62"/>
      <c r="B57" s="76"/>
      <c r="C57" s="85"/>
      <c r="D57" s="64"/>
      <c r="E57" s="112"/>
      <c r="F57" s="55"/>
      <c r="G57" s="65"/>
      <c r="H57" s="46"/>
      <c r="I57" s="46"/>
      <c r="J57" s="35"/>
      <c r="K57" s="64"/>
      <c r="L57" s="79"/>
      <c r="M57" s="46"/>
      <c r="N57" s="46"/>
      <c r="O57" s="128"/>
    </row>
    <row r="58" spans="1:15" s="66" customFormat="1" ht="17.25" hidden="1">
      <c r="A58" s="62"/>
      <c r="B58" s="76"/>
      <c r="C58" s="85"/>
      <c r="D58" s="43"/>
      <c r="E58" s="147"/>
      <c r="F58" s="55"/>
      <c r="G58" s="65"/>
      <c r="H58" s="46"/>
      <c r="I58" s="46"/>
      <c r="J58" s="35"/>
      <c r="K58" s="77"/>
      <c r="L58" s="109"/>
      <c r="M58" s="46"/>
      <c r="N58" s="46"/>
      <c r="O58" s="128"/>
    </row>
    <row r="59" spans="2:15" ht="15">
      <c r="B59" s="25" t="s">
        <v>110</v>
      </c>
      <c r="C59" s="86"/>
      <c r="D59" s="28"/>
      <c r="E59" s="146"/>
      <c r="F59" s="43"/>
      <c r="G59" s="35"/>
      <c r="H59" s="53"/>
      <c r="I59" s="53"/>
      <c r="J59" s="36"/>
      <c r="K59" s="36"/>
      <c r="L59" s="47"/>
      <c r="M59" s="53"/>
      <c r="N59" s="53"/>
      <c r="O59" s="129"/>
    </row>
    <row r="60" spans="2:15" ht="15">
      <c r="B60" s="182" t="s">
        <v>248</v>
      </c>
      <c r="C60" s="203">
        <v>12020000</v>
      </c>
      <c r="D60" s="28"/>
      <c r="E60" s="146">
        <v>0</v>
      </c>
      <c r="F60" s="43"/>
      <c r="G60" s="35"/>
      <c r="H60" s="53"/>
      <c r="I60" s="53"/>
      <c r="J60" s="36"/>
      <c r="K60" s="36">
        <f>E60-листопад!F60</f>
        <v>0</v>
      </c>
      <c r="L60" s="47"/>
      <c r="M60" s="53"/>
      <c r="N60" s="53"/>
      <c r="O60" s="129"/>
    </row>
    <row r="61" spans="2:15" ht="30.75">
      <c r="B61" s="26" t="s">
        <v>170</v>
      </c>
      <c r="C61" s="97">
        <v>18041500</v>
      </c>
      <c r="D61" s="28">
        <v>0</v>
      </c>
      <c r="E61" s="146">
        <v>-56.2</v>
      </c>
      <c r="F61" s="43">
        <f>E61-D61</f>
        <v>-56.2</v>
      </c>
      <c r="G61" s="35"/>
      <c r="H61" s="47">
        <f>E61-308.57</f>
        <v>-364.77</v>
      </c>
      <c r="I61" s="53"/>
      <c r="J61" s="35">
        <v>0</v>
      </c>
      <c r="K61" s="36">
        <f>E61-листопад!F61</f>
        <v>-0.480000000000004</v>
      </c>
      <c r="L61" s="47">
        <f>K61-J61</f>
        <v>-0.480000000000004</v>
      </c>
      <c r="M61" s="53"/>
      <c r="N61" s="53">
        <f>K61-24.53</f>
        <v>-25.010000000000005</v>
      </c>
      <c r="O61" s="129">
        <f>K61/24.53</f>
        <v>-0.019567876070118385</v>
      </c>
    </row>
    <row r="62" spans="2:15" ht="15">
      <c r="B62" s="32" t="s">
        <v>130</v>
      </c>
      <c r="C62" s="98"/>
      <c r="D62" s="33">
        <f>D61</f>
        <v>0</v>
      </c>
      <c r="E62" s="145">
        <f>SUM(E60:E61)</f>
        <v>-56.2</v>
      </c>
      <c r="F62" s="55">
        <f>E62-D62</f>
        <v>-56.2</v>
      </c>
      <c r="G62" s="65"/>
      <c r="H62" s="54">
        <f>H60+H61</f>
        <v>-364.77</v>
      </c>
      <c r="I62" s="54"/>
      <c r="J62" s="55">
        <f>J61</f>
        <v>0</v>
      </c>
      <c r="K62" s="33">
        <f>SUM(K60:K61)</f>
        <v>-0.480000000000004</v>
      </c>
      <c r="L62" s="54">
        <f>K62-J62</f>
        <v>-0.480000000000004</v>
      </c>
      <c r="M62" s="54"/>
      <c r="N62" s="54">
        <f>K62-92.85</f>
        <v>-93.33</v>
      </c>
      <c r="O62" s="130">
        <f>K62/92.85</f>
        <v>-0.005169628432956424</v>
      </c>
    </row>
    <row r="63" spans="2:15" ht="46.5" hidden="1">
      <c r="B63" s="26" t="s">
        <v>121</v>
      </c>
      <c r="C63" s="98">
        <v>21110000</v>
      </c>
      <c r="D63" s="28"/>
      <c r="E63" s="146">
        <v>0</v>
      </c>
      <c r="F63" s="43" t="e">
        <f>#N/A</f>
        <v>#N/A</v>
      </c>
      <c r="G63" s="35" t="e">
        <f aca="true" t="shared" si="13" ref="G63:G68">E63/D63*100</f>
        <v>#DIV/0!</v>
      </c>
      <c r="H63" s="53"/>
      <c r="I63" s="53"/>
      <c r="J63" s="36">
        <v>0</v>
      </c>
      <c r="K63" s="36">
        <f>E63</f>
        <v>0</v>
      </c>
      <c r="L63" s="47" t="e">
        <f>#N/A</f>
        <v>#N/A</v>
      </c>
      <c r="M63" s="53"/>
      <c r="N63" s="53"/>
      <c r="O63" s="129"/>
    </row>
    <row r="64" spans="2:15" ht="30.75">
      <c r="B64" s="26" t="s">
        <v>336</v>
      </c>
      <c r="C64" s="97">
        <v>31030000</v>
      </c>
      <c r="D64" s="28">
        <v>2500</v>
      </c>
      <c r="E64" s="146">
        <v>619.07</v>
      </c>
      <c r="F64" s="43">
        <f aca="true" t="shared" si="14" ref="F64:F72">E64-D64</f>
        <v>-1880.9299999999998</v>
      </c>
      <c r="G64" s="35">
        <f t="shared" si="13"/>
        <v>24.762800000000002</v>
      </c>
      <c r="H64" s="53">
        <f>E64-2169.35</f>
        <v>-1550.2799999999997</v>
      </c>
      <c r="I64" s="53">
        <f>E64/2169.35*100</f>
        <v>28.537119413649254</v>
      </c>
      <c r="J64" s="35">
        <f>D64-листопад!E64</f>
        <v>0</v>
      </c>
      <c r="K64" s="35">
        <f>E64-листопад!F64</f>
        <v>0.07000000000005002</v>
      </c>
      <c r="L64" s="47">
        <f aca="true" t="shared" si="15" ref="L64:L72">K64-J64</f>
        <v>0.07000000000005002</v>
      </c>
      <c r="M64" s="53"/>
      <c r="N64" s="53">
        <f>K64-0.04</f>
        <v>0.03000000000005002</v>
      </c>
      <c r="O64" s="129">
        <f>K64/0.04</f>
        <v>1.7500000000012506</v>
      </c>
    </row>
    <row r="65" spans="2:15" ht="15">
      <c r="B65" s="26" t="s">
        <v>337</v>
      </c>
      <c r="C65" s="97">
        <v>33010000</v>
      </c>
      <c r="D65" s="28">
        <v>11576</v>
      </c>
      <c r="E65" s="146">
        <v>8374.15</v>
      </c>
      <c r="F65" s="43">
        <f t="shared" si="14"/>
        <v>-3201.8500000000004</v>
      </c>
      <c r="G65" s="35">
        <f t="shared" si="13"/>
        <v>72.3406185210781</v>
      </c>
      <c r="H65" s="53">
        <f>E65-3883.56</f>
        <v>4490.59</v>
      </c>
      <c r="I65" s="53">
        <f>E65/3883.56*100</f>
        <v>215.63076146628353</v>
      </c>
      <c r="J65" s="35">
        <f>D65-листопад!E65</f>
        <v>3815.2700000000004</v>
      </c>
      <c r="K65" s="35">
        <f>E65-листопад!F65</f>
        <v>161.15999999999985</v>
      </c>
      <c r="L65" s="47">
        <f t="shared" si="15"/>
        <v>-3654.1100000000006</v>
      </c>
      <c r="M65" s="53">
        <f>K65/J65*100</f>
        <v>4.224078505584136</v>
      </c>
      <c r="N65" s="53">
        <f>K65-450.01</f>
        <v>-288.85000000000014</v>
      </c>
      <c r="O65" s="129">
        <f>K65/450.01</f>
        <v>0.3581253749916665</v>
      </c>
    </row>
    <row r="66" spans="2:15" ht="30.75">
      <c r="B66" s="26" t="s">
        <v>156</v>
      </c>
      <c r="C66" s="97">
        <v>24170000</v>
      </c>
      <c r="D66" s="28">
        <v>3000</v>
      </c>
      <c r="E66" s="146">
        <v>2315.93</v>
      </c>
      <c r="F66" s="43">
        <f t="shared" si="14"/>
        <v>-684.0700000000002</v>
      </c>
      <c r="G66" s="35">
        <f t="shared" si="13"/>
        <v>77.19766666666666</v>
      </c>
      <c r="H66" s="53">
        <f>E66-2054.62</f>
        <v>261.30999999999995</v>
      </c>
      <c r="I66" s="53">
        <f>E66/2054.62*100</f>
        <v>112.71816686297223</v>
      </c>
      <c r="J66" s="35">
        <f>D66-листопад!E66</f>
        <v>1519</v>
      </c>
      <c r="K66" s="35">
        <f>E66-листопад!F66</f>
        <v>23.199999999999818</v>
      </c>
      <c r="L66" s="47">
        <f t="shared" si="15"/>
        <v>-1495.8000000000002</v>
      </c>
      <c r="M66" s="53">
        <f>K66/J66*100</f>
        <v>1.5273206056616075</v>
      </c>
      <c r="N66" s="53">
        <f>K66-1.05</f>
        <v>22.149999999999817</v>
      </c>
      <c r="O66" s="129">
        <f>K66/1.05</f>
        <v>22.09523809523792</v>
      </c>
    </row>
    <row r="67" spans="2:15" ht="33">
      <c r="B67" s="32" t="s">
        <v>144</v>
      </c>
      <c r="C67" s="87"/>
      <c r="D67" s="33">
        <f>D64+D65+D66</f>
        <v>17076</v>
      </c>
      <c r="E67" s="235">
        <f>E64+E65+E66</f>
        <v>11309.15</v>
      </c>
      <c r="F67" s="55">
        <f t="shared" si="14"/>
        <v>-5766.85</v>
      </c>
      <c r="G67" s="65">
        <f t="shared" si="13"/>
        <v>66.22833216209885</v>
      </c>
      <c r="H67" s="54">
        <f>H64+H65+H66</f>
        <v>3201.6200000000003</v>
      </c>
      <c r="I67" s="54"/>
      <c r="J67" s="55">
        <f>J64+J65+J66</f>
        <v>5334.27</v>
      </c>
      <c r="K67" s="55">
        <f>K64+K65+K66</f>
        <v>184.42999999999972</v>
      </c>
      <c r="L67" s="54">
        <f t="shared" si="15"/>
        <v>-5149.840000000001</v>
      </c>
      <c r="M67" s="54">
        <f>K67/J67*100</f>
        <v>3.457455284415669</v>
      </c>
      <c r="N67" s="54">
        <f>K67-7985.28</f>
        <v>-7800.85</v>
      </c>
      <c r="O67" s="173">
        <f>K67/7985.28</f>
        <v>0.02309624709465413</v>
      </c>
    </row>
    <row r="68" spans="2:15" ht="46.5">
      <c r="B68" s="14" t="s">
        <v>124</v>
      </c>
      <c r="C68" s="100">
        <v>24062100</v>
      </c>
      <c r="D68" s="28">
        <v>35</v>
      </c>
      <c r="E68" s="146">
        <v>1.07</v>
      </c>
      <c r="F68" s="43">
        <f t="shared" si="14"/>
        <v>-33.93</v>
      </c>
      <c r="G68" s="35">
        <f t="shared" si="13"/>
        <v>3.0571428571428574</v>
      </c>
      <c r="H68" s="53">
        <f>E68-35.22</f>
        <v>-34.15</v>
      </c>
      <c r="I68" s="53">
        <f>E68/35.22*100</f>
        <v>3.0380465644520163</v>
      </c>
      <c r="J68" s="35">
        <f>D68-листопад!E68</f>
        <v>0</v>
      </c>
      <c r="K68" s="35">
        <f>E68-листопад!F68</f>
        <v>0.7200000000000001</v>
      </c>
      <c r="L68" s="47">
        <f t="shared" si="15"/>
        <v>0.7200000000000001</v>
      </c>
      <c r="M68" s="53"/>
      <c r="N68" s="53">
        <f>K68-0.16</f>
        <v>0.56</v>
      </c>
      <c r="O68" s="129">
        <f>K68/0.16</f>
        <v>4.5</v>
      </c>
    </row>
    <row r="69" spans="2:15" ht="30.75">
      <c r="B69" s="26" t="s">
        <v>338</v>
      </c>
      <c r="C69" s="97">
        <v>24061600</v>
      </c>
      <c r="D69" s="28">
        <v>19</v>
      </c>
      <c r="E69" s="146">
        <v>0</v>
      </c>
      <c r="F69" s="43">
        <f t="shared" si="14"/>
        <v>-19</v>
      </c>
      <c r="G69" s="35"/>
      <c r="H69" s="47">
        <f>E69-19.48</f>
        <v>-19.48</v>
      </c>
      <c r="I69" s="53">
        <f>E69/19.48*100</f>
        <v>0</v>
      </c>
      <c r="J69" s="35">
        <f>D69-листопад!E69</f>
        <v>5</v>
      </c>
      <c r="K69" s="35">
        <f>E69-листопад!F69</f>
        <v>0</v>
      </c>
      <c r="L69" s="47">
        <f t="shared" si="15"/>
        <v>-5</v>
      </c>
      <c r="M69" s="53">
        <f>K69/J69*100</f>
        <v>0</v>
      </c>
      <c r="N69" s="56">
        <f>K69-8.76</f>
        <v>-8.76</v>
      </c>
      <c r="O69" s="131">
        <f>K69/8.76</f>
        <v>0</v>
      </c>
    </row>
    <row r="70" spans="2:15" ht="30.75">
      <c r="B70" s="26" t="s">
        <v>140</v>
      </c>
      <c r="C70" s="97">
        <v>19050000</v>
      </c>
      <c r="D70" s="28">
        <v>0</v>
      </c>
      <c r="E70" s="146">
        <v>1.43</v>
      </c>
      <c r="F70" s="43">
        <f t="shared" si="14"/>
        <v>1.43</v>
      </c>
      <c r="G70" s="35"/>
      <c r="H70" s="53">
        <f>E70-1.59</f>
        <v>-0.16000000000000014</v>
      </c>
      <c r="I70" s="53">
        <f>E70/1.59*100</f>
        <v>89.93710691823898</v>
      </c>
      <c r="J70" s="35">
        <f>D70-листопад!E70</f>
        <v>0</v>
      </c>
      <c r="K70" s="35">
        <f>E70-листопад!F70</f>
        <v>0.11999999999999988</v>
      </c>
      <c r="L70" s="47">
        <f t="shared" si="15"/>
        <v>0.11999999999999988</v>
      </c>
      <c r="M70" s="53"/>
      <c r="N70" s="53">
        <f>K70-(-0.21)</f>
        <v>0.32999999999999985</v>
      </c>
      <c r="O70" s="129"/>
    </row>
    <row r="71" spans="2:15" ht="30">
      <c r="B71" s="32" t="s">
        <v>134</v>
      </c>
      <c r="C71" s="97"/>
      <c r="D71" s="33">
        <f>D68+D70+D69</f>
        <v>54</v>
      </c>
      <c r="E71" s="145">
        <f>E68+E70+E69</f>
        <v>2.5</v>
      </c>
      <c r="F71" s="55">
        <f t="shared" si="14"/>
        <v>-51.5</v>
      </c>
      <c r="G71" s="65">
        <f>E71/D71*100</f>
        <v>4.62962962962963</v>
      </c>
      <c r="H71" s="54">
        <f>H68+H69+H70</f>
        <v>-53.78999999999999</v>
      </c>
      <c r="I71" s="54"/>
      <c r="J71" s="55">
        <f>J68+J70+J69</f>
        <v>5</v>
      </c>
      <c r="K71" s="55">
        <f>K68+K70+K69</f>
        <v>0.84</v>
      </c>
      <c r="L71" s="54">
        <f t="shared" si="15"/>
        <v>-4.16</v>
      </c>
      <c r="M71" s="54">
        <f>K71/J71*100</f>
        <v>16.799999999999997</v>
      </c>
      <c r="N71" s="54">
        <f>K71-26.38</f>
        <v>-25.54</v>
      </c>
      <c r="O71" s="128">
        <f>K71/26.38</f>
        <v>0.03184230477634572</v>
      </c>
    </row>
    <row r="72" spans="2:15" ht="30.75">
      <c r="B72" s="14" t="s">
        <v>339</v>
      </c>
      <c r="C72" s="59">
        <v>24110900</v>
      </c>
      <c r="D72" s="28">
        <v>42</v>
      </c>
      <c r="E72" s="146">
        <v>38.99</v>
      </c>
      <c r="F72" s="43">
        <f t="shared" si="14"/>
        <v>-3.009999999999998</v>
      </c>
      <c r="G72" s="35">
        <f>E72/D72*100</f>
        <v>92.83333333333333</v>
      </c>
      <c r="H72" s="53">
        <f>E72-42.71</f>
        <v>-3.719999999999999</v>
      </c>
      <c r="I72" s="53">
        <f>E72/42.71*100</f>
        <v>91.29009599625381</v>
      </c>
      <c r="J72" s="35">
        <f>D72-листопад!E72</f>
        <v>7.579999999999998</v>
      </c>
      <c r="K72" s="35">
        <f>E72-листопад!F72</f>
        <v>8.380000000000003</v>
      </c>
      <c r="L72" s="47">
        <f t="shared" si="15"/>
        <v>0.8000000000000043</v>
      </c>
      <c r="M72" s="53">
        <f>K72/J72*100</f>
        <v>110.5540897097626</v>
      </c>
      <c r="N72" s="53">
        <f>K72-0.45</f>
        <v>7.930000000000002</v>
      </c>
      <c r="O72" s="129">
        <f>K72/0.45</f>
        <v>18.622222222222227</v>
      </c>
    </row>
    <row r="73" spans="2:15" ht="15">
      <c r="B73" s="184" t="s">
        <v>272</v>
      </c>
      <c r="C73" s="59">
        <v>50110000</v>
      </c>
      <c r="D73" s="28"/>
      <c r="E73" s="146">
        <v>0.2</v>
      </c>
      <c r="F73" s="43"/>
      <c r="G73" s="35"/>
      <c r="H73" s="53">
        <f>E73-0</f>
        <v>0.2</v>
      </c>
      <c r="I73" s="53"/>
      <c r="J73" s="35"/>
      <c r="K73" s="35">
        <f>E73-листопад!F73</f>
        <v>0</v>
      </c>
      <c r="L73" s="47"/>
      <c r="M73" s="53"/>
      <c r="N73" s="53"/>
      <c r="O73" s="129"/>
    </row>
    <row r="74" spans="2:15" ht="23.25" customHeight="1">
      <c r="B74" s="17" t="s">
        <v>114</v>
      </c>
      <c r="C74" s="88"/>
      <c r="D74" s="27">
        <f>D62+D72+D67+D71</f>
        <v>17172</v>
      </c>
      <c r="E74" s="27">
        <f>E62+E72+E67+E71+E73</f>
        <v>11294.640000000001</v>
      </c>
      <c r="F74" s="44">
        <f>E74-D74</f>
        <v>-5877.359999999999</v>
      </c>
      <c r="G74" s="45">
        <f>E74/D74*100</f>
        <v>65.77358490566039</v>
      </c>
      <c r="H74" s="31">
        <f>H62+H67+H71+H72</f>
        <v>2779.3400000000006</v>
      </c>
      <c r="I74" s="31"/>
      <c r="J74" s="27">
        <f>J62+J72+J67+J71</f>
        <v>5346.85</v>
      </c>
      <c r="K74" s="27">
        <f>K62+K72+K67+K71+K73</f>
        <v>193.16999999999973</v>
      </c>
      <c r="L74" s="31">
        <f>K74-J74</f>
        <v>-5153.68</v>
      </c>
      <c r="M74" s="31">
        <f>K74/J74*100</f>
        <v>3.61278135724772</v>
      </c>
      <c r="N74" s="31">
        <f>K74-8104.96</f>
        <v>-7911.79</v>
      </c>
      <c r="O74" s="127">
        <f>K74/8104.96</f>
        <v>0.023833553774478804</v>
      </c>
    </row>
    <row r="75" spans="2:15" ht="17.25">
      <c r="B75" s="24" t="s">
        <v>115</v>
      </c>
      <c r="C75" s="88"/>
      <c r="D75" s="27">
        <f>D55+D74</f>
        <v>626976.89</v>
      </c>
      <c r="E75" s="27">
        <f>E55+E74</f>
        <v>734695.27</v>
      </c>
      <c r="F75" s="44">
        <f>E75-D75</f>
        <v>107718.38</v>
      </c>
      <c r="G75" s="45">
        <f>E75/D75*100</f>
        <v>117.18059815569917</v>
      </c>
      <c r="H75" s="31">
        <f>H55+H74</f>
        <v>220703.35800000004</v>
      </c>
      <c r="I75" s="31">
        <f>E75/(E75-H75)*100</f>
        <v>142.93907216189814</v>
      </c>
      <c r="J75" s="18">
        <f>J55+J74</f>
        <v>38539.799999999996</v>
      </c>
      <c r="K75" s="18">
        <f>K55+K74</f>
        <v>73013.51999999993</v>
      </c>
      <c r="L75" s="31">
        <f>K75-J75</f>
        <v>34473.719999999936</v>
      </c>
      <c r="M75" s="31">
        <f>K75/J75*100</f>
        <v>189.44965983217335</v>
      </c>
      <c r="N75" s="31">
        <f>K75-42872.96</f>
        <v>30140.559999999932</v>
      </c>
      <c r="O75" s="127">
        <f>K75/42872.96</f>
        <v>1.7030202719849512</v>
      </c>
    </row>
    <row r="76" spans="2:11" ht="15">
      <c r="B76" s="23" t="s">
        <v>117</v>
      </c>
      <c r="K76" s="29"/>
    </row>
    <row r="77" spans="2:4" ht="15">
      <c r="B77" s="4" t="s">
        <v>119</v>
      </c>
      <c r="C77" s="101">
        <v>0</v>
      </c>
      <c r="D77" s="4" t="s">
        <v>118</v>
      </c>
    </row>
    <row r="78" spans="2:14" ht="30.75">
      <c r="B78" s="71" t="s">
        <v>154</v>
      </c>
      <c r="C78" s="34">
        <f>IF(L55&lt;0,ABS(L55/C77),0)</f>
        <v>0</v>
      </c>
      <c r="D78" s="4" t="s">
        <v>104</v>
      </c>
      <c r="F78" s="266"/>
      <c r="G78" s="266"/>
      <c r="H78" s="115"/>
      <c r="I78" s="115"/>
      <c r="M78" s="29"/>
      <c r="N78" s="29"/>
    </row>
    <row r="79" spans="2:12" ht="34.5" customHeight="1">
      <c r="B79" s="72" t="s">
        <v>159</v>
      </c>
      <c r="C79" s="111">
        <v>42369</v>
      </c>
      <c r="D79" s="34">
        <v>102.8</v>
      </c>
      <c r="F79" s="4" t="s">
        <v>166</v>
      </c>
      <c r="K79" s="263"/>
      <c r="L79" s="263"/>
    </row>
    <row r="80" spans="3:12" ht="15">
      <c r="C80" s="111">
        <v>42368</v>
      </c>
      <c r="D80" s="34">
        <v>5292.5</v>
      </c>
      <c r="E80" s="155" t="s">
        <v>166</v>
      </c>
      <c r="F80" s="261"/>
      <c r="G80" s="261"/>
      <c r="H80" s="265"/>
      <c r="I80" s="265"/>
      <c r="J80" s="265"/>
      <c r="K80" s="263"/>
      <c r="L80" s="263"/>
    </row>
    <row r="81" spans="3:12" ht="15.75" customHeight="1">
      <c r="C81" s="111">
        <v>42367</v>
      </c>
      <c r="D81" s="34">
        <v>8216.9</v>
      </c>
      <c r="E81" s="90"/>
      <c r="F81" s="261"/>
      <c r="G81" s="261"/>
      <c r="H81" s="262"/>
      <c r="I81" s="262"/>
      <c r="J81" s="262"/>
      <c r="K81" s="263"/>
      <c r="L81" s="263"/>
    </row>
    <row r="82" spans="3:10" ht="15.75" customHeight="1">
      <c r="C82" s="111"/>
      <c r="E82" s="90"/>
      <c r="F82" s="264"/>
      <c r="G82" s="264"/>
      <c r="H82" s="265"/>
      <c r="I82" s="265"/>
      <c r="J82" s="265"/>
    </row>
    <row r="83" spans="2:10" ht="18.75" customHeight="1">
      <c r="B83" s="270" t="s">
        <v>160</v>
      </c>
      <c r="C83" s="271"/>
      <c r="D83" s="108">
        <v>58544.61101</v>
      </c>
      <c r="E83" s="222"/>
      <c r="F83" s="261"/>
      <c r="G83" s="261"/>
      <c r="H83" s="265"/>
      <c r="I83" s="265"/>
      <c r="J83" s="265"/>
    </row>
    <row r="84" spans="5:9" ht="9.75" customHeight="1">
      <c r="E84" s="90"/>
      <c r="F84" s="261"/>
      <c r="G84" s="261"/>
      <c r="H84" s="91"/>
      <c r="I84" s="91"/>
    </row>
    <row r="85" spans="2:9" ht="22.5" customHeight="1" hidden="1">
      <c r="B85" s="267" t="s">
        <v>167</v>
      </c>
      <c r="C85" s="268"/>
      <c r="D85" s="70" t="s">
        <v>104</v>
      </c>
      <c r="E85" s="90"/>
      <c r="F85" s="261"/>
      <c r="G85" s="261"/>
      <c r="H85" s="91"/>
      <c r="I85" s="91"/>
    </row>
    <row r="86" spans="5:12" ht="15">
      <c r="E86" s="90"/>
      <c r="F86" s="91"/>
      <c r="G86" s="91"/>
      <c r="K86" s="261"/>
      <c r="L86" s="261"/>
    </row>
    <row r="87" spans="11:12" ht="15">
      <c r="K87" s="269"/>
      <c r="L87" s="269"/>
    </row>
    <row r="88" spans="11:12" ht="15">
      <c r="K88" s="261"/>
      <c r="L88" s="261"/>
    </row>
    <row r="92" ht="15">
      <c r="D92" s="4" t="s">
        <v>166</v>
      </c>
    </row>
  </sheetData>
  <sheetProtection/>
  <mergeCells count="36">
    <mergeCell ref="K88:L88"/>
    <mergeCell ref="B85:C85"/>
    <mergeCell ref="F85:G85"/>
    <mergeCell ref="K86:L86"/>
    <mergeCell ref="K87:L87"/>
    <mergeCell ref="B83:C83"/>
    <mergeCell ref="F83:G83"/>
    <mergeCell ref="H83:J83"/>
    <mergeCell ref="F84:G84"/>
    <mergeCell ref="F81:G81"/>
    <mergeCell ref="H81:J81"/>
    <mergeCell ref="K81:L81"/>
    <mergeCell ref="F82:G82"/>
    <mergeCell ref="H82:J82"/>
    <mergeCell ref="F78:G78"/>
    <mergeCell ref="K79:L79"/>
    <mergeCell ref="F80:G80"/>
    <mergeCell ref="H80:J80"/>
    <mergeCell ref="K80:L80"/>
    <mergeCell ref="A1:M1"/>
    <mergeCell ref="B2:C2"/>
    <mergeCell ref="A3:A5"/>
    <mergeCell ref="B3:B5"/>
    <mergeCell ref="C3:C5"/>
    <mergeCell ref="E3:G3"/>
    <mergeCell ref="J3:J5"/>
    <mergeCell ref="K4:K5"/>
    <mergeCell ref="L4:L5"/>
    <mergeCell ref="M4:M5"/>
    <mergeCell ref="K3:O3"/>
    <mergeCell ref="D4:D5"/>
    <mergeCell ref="E4:E5"/>
    <mergeCell ref="F4:F5"/>
    <mergeCell ref="G4:G5"/>
    <mergeCell ref="N5:O5"/>
    <mergeCell ref="H5:I5"/>
  </mergeCells>
  <printOptions/>
  <pageMargins left="0.65" right="0.18" top="0.44" bottom="0.38" header="0.27" footer="0.29"/>
  <pageSetup fitToHeight="1" fitToWidth="1" horizontalDpi="600" verticalDpi="600" orientation="portrait" paperSize="9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zoomScalePageLayoutView="0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B13" sqref="B13"/>
    </sheetView>
  </sheetViews>
  <sheetFormatPr defaultColWidth="9.1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50390625" style="4" customWidth="1"/>
    <col min="9" max="9" width="12.75390625" style="4" customWidth="1"/>
    <col min="10" max="10" width="9.50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7" t="s">
        <v>235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117"/>
      <c r="R1" s="118"/>
    </row>
    <row r="2" spans="2:18" s="1" customFormat="1" ht="15.75" customHeight="1">
      <c r="B2" s="248"/>
      <c r="C2" s="248"/>
      <c r="D2" s="24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49"/>
      <c r="B3" s="276"/>
      <c r="C3" s="252" t="s">
        <v>0</v>
      </c>
      <c r="D3" s="274" t="s">
        <v>216</v>
      </c>
      <c r="E3" s="40"/>
      <c r="F3" s="253" t="s">
        <v>107</v>
      </c>
      <c r="G3" s="254"/>
      <c r="H3" s="254"/>
      <c r="I3" s="254"/>
      <c r="J3" s="275"/>
      <c r="K3" s="114"/>
      <c r="L3" s="114"/>
      <c r="M3" s="255" t="s">
        <v>231</v>
      </c>
      <c r="N3" s="236" t="s">
        <v>232</v>
      </c>
      <c r="O3" s="236"/>
      <c r="P3" s="236"/>
      <c r="Q3" s="236"/>
      <c r="R3" s="236"/>
    </row>
    <row r="4" spans="1:18" ht="22.5" customHeight="1">
      <c r="A4" s="249"/>
      <c r="B4" s="276"/>
      <c r="C4" s="252"/>
      <c r="D4" s="274"/>
      <c r="E4" s="237" t="s">
        <v>228</v>
      </c>
      <c r="F4" s="239" t="s">
        <v>116</v>
      </c>
      <c r="G4" s="272" t="s">
        <v>229</v>
      </c>
      <c r="H4" s="243" t="s">
        <v>230</v>
      </c>
      <c r="I4" s="241" t="s">
        <v>217</v>
      </c>
      <c r="J4" s="256" t="s">
        <v>218</v>
      </c>
      <c r="K4" s="116" t="s">
        <v>172</v>
      </c>
      <c r="L4" s="121" t="s">
        <v>171</v>
      </c>
      <c r="M4" s="256"/>
      <c r="N4" s="258" t="s">
        <v>236</v>
      </c>
      <c r="O4" s="241" t="s">
        <v>136</v>
      </c>
      <c r="P4" s="260" t="s">
        <v>135</v>
      </c>
      <c r="Q4" s="122" t="s">
        <v>172</v>
      </c>
      <c r="R4" s="123" t="s">
        <v>171</v>
      </c>
    </row>
    <row r="5" spans="1:19" ht="92.25" customHeight="1">
      <c r="A5" s="250"/>
      <c r="B5" s="276"/>
      <c r="C5" s="252"/>
      <c r="D5" s="274"/>
      <c r="E5" s="238"/>
      <c r="F5" s="240"/>
      <c r="G5" s="273"/>
      <c r="H5" s="244"/>
      <c r="I5" s="242"/>
      <c r="J5" s="257"/>
      <c r="K5" s="245" t="s">
        <v>233</v>
      </c>
      <c r="L5" s="246"/>
      <c r="M5" s="257"/>
      <c r="N5" s="259"/>
      <c r="O5" s="242"/>
      <c r="P5" s="260"/>
      <c r="Q5" s="245" t="s">
        <v>176</v>
      </c>
      <c r="R5" s="24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7.2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>#N/A</f>
        <v>3824.2000000000116</v>
      </c>
      <c r="H8" s="45">
        <f>F8/E8*100</f>
        <v>102.8189886699389</v>
      </c>
      <c r="I8" s="31">
        <f>#N/A</f>
        <v>-377946.22</v>
      </c>
      <c r="J8" s="31">
        <f>#N/A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>#N/A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0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>#N/A</f>
        <v>78437.5</v>
      </c>
      <c r="H9" s="16"/>
      <c r="I9" s="50">
        <f>#N/A</f>
        <v>-234252.5</v>
      </c>
      <c r="J9" s="50">
        <f>#N/A</f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>#N/A</f>
        <v>-2834.5699999999924</v>
      </c>
      <c r="P9" s="50">
        <f>F9/M9*100</f>
        <v>248.34112088873752</v>
      </c>
      <c r="Q9" s="50"/>
      <c r="R9" s="126"/>
    </row>
    <row r="10" spans="1:19" s="6" customFormat="1" ht="1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>#N/A</f>
        <v>1923.520000000004</v>
      </c>
      <c r="H10" s="35">
        <f>#N/A</f>
        <v>102.5139458174833</v>
      </c>
      <c r="I10" s="50">
        <f>#N/A</f>
        <v>-234252.5</v>
      </c>
      <c r="J10" s="50">
        <f>#N/A</f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>#N/A</f>
        <v>-2834.5699999999924</v>
      </c>
      <c r="P10" s="50">
        <f>#N/A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>#N/A</f>
        <v>0</v>
      </c>
      <c r="H11" s="35" t="e">
        <f>#N/A</f>
        <v>#DIV/0!</v>
      </c>
      <c r="I11" s="50">
        <f>#N/A</f>
        <v>0</v>
      </c>
      <c r="J11" s="50" t="e">
        <f>#N/A</f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>#N/A</f>
        <v>0</v>
      </c>
      <c r="P11" s="50" t="e">
        <f>#N/A</f>
        <v>#DIV/0!</v>
      </c>
      <c r="Q11" s="50"/>
      <c r="R11" s="126"/>
    </row>
    <row r="12" spans="1:18" s="6" customFormat="1" ht="30.75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>#N/A</f>
        <v>0</v>
      </c>
      <c r="H12" s="35" t="e">
        <f>#N/A</f>
        <v>#DIV/0!</v>
      </c>
      <c r="I12" s="50">
        <f>#N/A</f>
        <v>0</v>
      </c>
      <c r="J12" s="50" t="e">
        <f>#N/A</f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>#N/A</f>
        <v>0</v>
      </c>
      <c r="P12" s="50" t="e">
        <f>#N/A</f>
        <v>#DIV/0!</v>
      </c>
      <c r="Q12" s="50"/>
      <c r="R12" s="126"/>
    </row>
    <row r="13" spans="1:18" s="6" customFormat="1" ht="47.25" customHeight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>#N/A</f>
        <v>0</v>
      </c>
      <c r="H13" s="35" t="e">
        <f>#N/A</f>
        <v>#DIV/0!</v>
      </c>
      <c r="I13" s="50">
        <f>#N/A</f>
        <v>0</v>
      </c>
      <c r="J13" s="50" t="e">
        <f>#N/A</f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>#N/A</f>
        <v>0</v>
      </c>
      <c r="P13" s="50" t="e">
        <f>#N/A</f>
        <v>#DIV/0!</v>
      </c>
      <c r="Q13" s="50"/>
      <c r="R13" s="126"/>
    </row>
    <row r="14" spans="1:18" s="6" customFormat="1" ht="30.75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>#N/A</f>
        <v>0</v>
      </c>
      <c r="H14" s="35" t="e">
        <f>#N/A</f>
        <v>#DIV/0!</v>
      </c>
      <c r="I14" s="50">
        <f>#N/A</f>
        <v>0</v>
      </c>
      <c r="J14" s="50" t="e">
        <f>#N/A</f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>#N/A</f>
        <v>0</v>
      </c>
      <c r="P14" s="50" t="e">
        <f>#N/A</f>
        <v>#DIV/0!</v>
      </c>
      <c r="Q14" s="50"/>
      <c r="R14" s="126"/>
    </row>
    <row r="15" spans="1:18" s="6" customFormat="1" ht="30.75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>#N/A</f>
        <v>0</v>
      </c>
      <c r="H15" s="35" t="e">
        <f>#N/A</f>
        <v>#DIV/0!</v>
      </c>
      <c r="I15" s="50">
        <f>#N/A</f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>#N/A</f>
        <v>0</v>
      </c>
      <c r="P15" s="50" t="e">
        <f>#N/A</f>
        <v>#DIV/0!</v>
      </c>
      <c r="Q15" s="50"/>
      <c r="R15" s="126"/>
    </row>
    <row r="16" spans="1:18" s="6" customFormat="1" ht="47.25" customHeight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>#N/A</f>
        <v>0</v>
      </c>
      <c r="H16" s="35" t="e">
        <f>#N/A</f>
        <v>#DIV/0!</v>
      </c>
      <c r="I16" s="50">
        <f>#N/A</f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>#N/A</f>
        <v>0</v>
      </c>
      <c r="P16" s="50" t="e">
        <f>#N/A</f>
        <v>#DIV/0!</v>
      </c>
      <c r="Q16" s="50"/>
      <c r="R16" s="126"/>
    </row>
    <row r="17" spans="1:18" s="6" customFormat="1" ht="15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>#N/A</f>
        <v>0</v>
      </c>
      <c r="H17" s="35" t="e">
        <f>#N/A</f>
        <v>#DIV/0!</v>
      </c>
      <c r="I17" s="50">
        <f>#N/A</f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>#N/A</f>
        <v>0</v>
      </c>
      <c r="P17" s="50" t="e">
        <f>#N/A</f>
        <v>#DIV/0!</v>
      </c>
      <c r="Q17" s="50"/>
      <c r="R17" s="126"/>
    </row>
    <row r="18" spans="1:18" s="6" customFormat="1" ht="15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>#N/A</f>
        <v>0</v>
      </c>
      <c r="H18" s="35" t="e">
        <f>#N/A</f>
        <v>#DIV/0!</v>
      </c>
      <c r="I18" s="50">
        <f>#N/A</f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>#N/A</f>
        <v>0</v>
      </c>
      <c r="P18" s="50" t="e">
        <f>#N/A</f>
        <v>#DIV/0!</v>
      </c>
      <c r="Q18" s="50"/>
      <c r="R18" s="126"/>
    </row>
    <row r="19" spans="1:18" s="6" customFormat="1" ht="30.7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>#N/A</f>
        <v>-1191.08</v>
      </c>
      <c r="H19" s="35"/>
      <c r="I19" s="50">
        <f>#N/A</f>
        <v>-1519.88</v>
      </c>
      <c r="J19" s="50">
        <f>#N/A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>#N/A</f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0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>#N/A</f>
        <v>0</v>
      </c>
      <c r="H20" s="35"/>
      <c r="I20" s="50">
        <f>#N/A</f>
        <v>0</v>
      </c>
      <c r="J20" s="50" t="e">
        <f>#N/A</f>
        <v>#DIV/0!</v>
      </c>
      <c r="K20" s="50">
        <f>#N/A</f>
        <v>-194.7</v>
      </c>
      <c r="L20" s="50">
        <f>#N/A</f>
        <v>0</v>
      </c>
      <c r="M20" s="35">
        <f>E20-лютий!E20</f>
        <v>0</v>
      </c>
      <c r="N20" s="35">
        <f>F20-лютий!F20</f>
        <v>0</v>
      </c>
      <c r="O20" s="47">
        <f>#N/A</f>
        <v>0</v>
      </c>
      <c r="P20" s="50"/>
      <c r="Q20" s="50">
        <f>#N/A</f>
        <v>-194.7</v>
      </c>
      <c r="R20" s="126">
        <f>#N/A</f>
        <v>0</v>
      </c>
    </row>
    <row r="21" spans="1:18" s="6" customFormat="1" ht="46.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>#N/A</f>
        <v>0</v>
      </c>
      <c r="H21" s="35"/>
      <c r="I21" s="50">
        <f>#N/A</f>
        <v>0</v>
      </c>
      <c r="J21" s="50" t="e">
        <f>#N/A</f>
        <v>#DIV/0!</v>
      </c>
      <c r="K21" s="50">
        <f>#N/A</f>
        <v>-194.7</v>
      </c>
      <c r="L21" s="50">
        <f>#N/A</f>
        <v>0</v>
      </c>
      <c r="M21" s="35">
        <f>E21-лютий!E21</f>
        <v>0</v>
      </c>
      <c r="N21" s="35">
        <f>F21-лютий!F21</f>
        <v>0</v>
      </c>
      <c r="O21" s="47">
        <f>#N/A</f>
        <v>0</v>
      </c>
      <c r="P21" s="50"/>
      <c r="Q21" s="50">
        <f>#N/A</f>
        <v>-194.7</v>
      </c>
      <c r="R21" s="126">
        <f>#N/A</f>
        <v>0</v>
      </c>
    </row>
    <row r="22" spans="1:18" s="6" customFormat="1" ht="46.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>#N/A</f>
        <v>0</v>
      </c>
      <c r="H22" s="35"/>
      <c r="I22" s="50">
        <f>#N/A</f>
        <v>0</v>
      </c>
      <c r="J22" s="50" t="e">
        <f>#N/A</f>
        <v>#DIV/0!</v>
      </c>
      <c r="K22" s="50">
        <f>#N/A</f>
        <v>-194.7</v>
      </c>
      <c r="L22" s="50">
        <f>#N/A</f>
        <v>0</v>
      </c>
      <c r="M22" s="35">
        <f>E22-лютий!E22</f>
        <v>0</v>
      </c>
      <c r="N22" s="35">
        <f>F22-лютий!F22</f>
        <v>0</v>
      </c>
      <c r="O22" s="47">
        <f>#N/A</f>
        <v>0</v>
      </c>
      <c r="P22" s="50"/>
      <c r="Q22" s="50">
        <f>#N/A</f>
        <v>-194.7</v>
      </c>
      <c r="R22" s="126">
        <f>#N/A</f>
        <v>0</v>
      </c>
    </row>
    <row r="23" spans="1:18" s="6" customFormat="1" ht="61.5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>#N/A</f>
        <v>0</v>
      </c>
      <c r="H23" s="35"/>
      <c r="I23" s="50">
        <f>#N/A</f>
        <v>0</v>
      </c>
      <c r="J23" s="50" t="e">
        <f>#N/A</f>
        <v>#DIV/0!</v>
      </c>
      <c r="K23" s="50">
        <f>#N/A</f>
        <v>-194.7</v>
      </c>
      <c r="L23" s="50">
        <f>#N/A</f>
        <v>0</v>
      </c>
      <c r="M23" s="35">
        <f>E23-лютий!E23</f>
        <v>0</v>
      </c>
      <c r="N23" s="35">
        <f>F23-лютий!F23</f>
        <v>0</v>
      </c>
      <c r="O23" s="47">
        <f>#N/A</f>
        <v>0</v>
      </c>
      <c r="P23" s="50"/>
      <c r="Q23" s="50">
        <f>#N/A</f>
        <v>-194.7</v>
      </c>
      <c r="R23" s="126">
        <f>#N/A</f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>#N/A</f>
        <v>0</v>
      </c>
      <c r="H24" s="35"/>
      <c r="I24" s="50">
        <f>#N/A</f>
        <v>0</v>
      </c>
      <c r="J24" s="50" t="e">
        <f>#N/A</f>
        <v>#DIV/0!</v>
      </c>
      <c r="K24" s="50">
        <f>#N/A</f>
        <v>-194.7</v>
      </c>
      <c r="L24" s="50">
        <f>#N/A</f>
        <v>0</v>
      </c>
      <c r="M24" s="35">
        <f>E24-лютий!E24</f>
        <v>0</v>
      </c>
      <c r="N24" s="35">
        <f>F24-лютий!F24</f>
        <v>0</v>
      </c>
      <c r="O24" s="47">
        <f>#N/A</f>
        <v>0</v>
      </c>
      <c r="P24" s="50"/>
      <c r="Q24" s="50">
        <f>#N/A</f>
        <v>-194.7</v>
      </c>
      <c r="R24" s="126">
        <f>#N/A</f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>#N/A</f>
        <v>0</v>
      </c>
      <c r="H25" s="35"/>
      <c r="I25" s="50">
        <f>#N/A</f>
        <v>0</v>
      </c>
      <c r="J25" s="50" t="e">
        <f>#N/A</f>
        <v>#DIV/0!</v>
      </c>
      <c r="K25" s="50">
        <f>#N/A</f>
        <v>-194.7</v>
      </c>
      <c r="L25" s="50">
        <f>#N/A</f>
        <v>0</v>
      </c>
      <c r="M25" s="35">
        <f>E25-лютий!E25</f>
        <v>0</v>
      </c>
      <c r="N25" s="35">
        <f>F25-лютий!F25</f>
        <v>0</v>
      </c>
      <c r="O25" s="47">
        <f>#N/A</f>
        <v>0</v>
      </c>
      <c r="P25" s="50"/>
      <c r="Q25" s="50">
        <f>#N/A</f>
        <v>-194.7</v>
      </c>
      <c r="R25" s="126">
        <f>#N/A</f>
        <v>0</v>
      </c>
    </row>
    <row r="26" spans="1:18" s="6" customFormat="1" ht="46.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>#N/A</f>
        <v>0</v>
      </c>
      <c r="H26" s="35"/>
      <c r="I26" s="50">
        <f>#N/A</f>
        <v>0</v>
      </c>
      <c r="J26" s="50" t="e">
        <f>#N/A</f>
        <v>#DIV/0!</v>
      </c>
      <c r="K26" s="50">
        <f>#N/A</f>
        <v>-194.7</v>
      </c>
      <c r="L26" s="50">
        <f>#N/A</f>
        <v>0</v>
      </c>
      <c r="M26" s="35">
        <f>E26-лютий!E26</f>
        <v>0</v>
      </c>
      <c r="N26" s="35">
        <f>F26-лютий!F26</f>
        <v>0</v>
      </c>
      <c r="O26" s="47">
        <f>#N/A</f>
        <v>0</v>
      </c>
      <c r="P26" s="50"/>
      <c r="Q26" s="50">
        <f>#N/A</f>
        <v>-194.7</v>
      </c>
      <c r="R26" s="126">
        <f>#N/A</f>
        <v>0</v>
      </c>
    </row>
    <row r="27" spans="1:18" s="6" customFormat="1" ht="61.5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>#N/A</f>
        <v>0</v>
      </c>
      <c r="H27" s="35"/>
      <c r="I27" s="50">
        <f>#N/A</f>
        <v>0</v>
      </c>
      <c r="J27" s="50" t="e">
        <f>#N/A</f>
        <v>#DIV/0!</v>
      </c>
      <c r="K27" s="50">
        <f>#N/A</f>
        <v>-194.7</v>
      </c>
      <c r="L27" s="50">
        <f>#N/A</f>
        <v>0</v>
      </c>
      <c r="M27" s="35">
        <f>E27-лютий!E27</f>
        <v>0</v>
      </c>
      <c r="N27" s="35">
        <f>F27-лютий!F27</f>
        <v>0</v>
      </c>
      <c r="O27" s="47">
        <f>#N/A</f>
        <v>0</v>
      </c>
      <c r="P27" s="50"/>
      <c r="Q27" s="50">
        <f>#N/A</f>
        <v>-194.7</v>
      </c>
      <c r="R27" s="126">
        <f>#N/A</f>
        <v>0</v>
      </c>
    </row>
    <row r="28" spans="1:18" s="6" customFormat="1" ht="1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>#N/A</f>
        <v>0</v>
      </c>
      <c r="H28" s="35"/>
      <c r="I28" s="50">
        <f>#N/A</f>
        <v>0</v>
      </c>
      <c r="J28" s="50" t="e">
        <f>#N/A</f>
        <v>#DIV/0!</v>
      </c>
      <c r="K28" s="50">
        <f>#N/A</f>
        <v>-194.7</v>
      </c>
      <c r="L28" s="50">
        <f>#N/A</f>
        <v>0</v>
      </c>
      <c r="M28" s="35">
        <f>E28-лютий!E28</f>
        <v>0</v>
      </c>
      <c r="N28" s="35">
        <f>F28-лютий!F28</f>
        <v>0</v>
      </c>
      <c r="O28" s="47">
        <f>#N/A</f>
        <v>0</v>
      </c>
      <c r="P28" s="50"/>
      <c r="Q28" s="50">
        <f>#N/A</f>
        <v>-194.7</v>
      </c>
      <c r="R28" s="126">
        <f>#N/A</f>
        <v>0</v>
      </c>
    </row>
    <row r="29" spans="1:18" s="6" customFormat="1" ht="1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>#N/A</f>
        <v>-1417.18</v>
      </c>
      <c r="H29" s="137"/>
      <c r="I29" s="136">
        <f>#N/A</f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>#N/A</f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0.7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>#N/A</f>
        <v>2.8000000000000007</v>
      </c>
      <c r="H30" s="35">
        <f>#N/A</f>
        <v>121.53846153846155</v>
      </c>
      <c r="I30" s="50">
        <f>#N/A</f>
        <v>-3.1999999999999993</v>
      </c>
      <c r="J30" s="50">
        <f>#N/A</f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>#N/A</f>
        <v>0</v>
      </c>
      <c r="P30" s="50" t="e">
        <f>#N/A</f>
        <v>#DIV/0!</v>
      </c>
      <c r="Q30" s="50"/>
      <c r="R30" s="126"/>
    </row>
    <row r="31" spans="1:18" s="6" customFormat="1" ht="46.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>#N/A</f>
        <v>0</v>
      </c>
      <c r="H31" s="35" t="e">
        <f>#N/A</f>
        <v>#DIV/0!</v>
      </c>
      <c r="I31" s="50">
        <f>#N/A</f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>#N/A</f>
        <v>0</v>
      </c>
      <c r="P31" s="50" t="e">
        <f>#N/A</f>
        <v>#DIV/0!</v>
      </c>
      <c r="Q31" s="50"/>
      <c r="R31" s="126"/>
    </row>
    <row r="32" spans="1:18" s="6" customFormat="1" ht="30.7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>#N/A</f>
        <v>0</v>
      </c>
      <c r="H32" s="35" t="e">
        <f>#N/A</f>
        <v>#DIV/0!</v>
      </c>
      <c r="I32" s="50">
        <f>#N/A</f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>#N/A</f>
        <v>0</v>
      </c>
      <c r="P32" s="50" t="e">
        <f>#N/A</f>
        <v>#DIV/0!</v>
      </c>
      <c r="Q32" s="50"/>
      <c r="R32" s="126"/>
    </row>
    <row r="33" spans="1:18" s="6" customFormat="1" ht="46.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>#N/A</f>
        <v>130.47999999999956</v>
      </c>
      <c r="H33" s="35">
        <f>#N/A</f>
        <v>101.31267605633802</v>
      </c>
      <c r="I33" s="50">
        <f>#N/A</f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>#N/A</f>
        <v>-674.6400000000003</v>
      </c>
      <c r="P33" s="50">
        <f>#N/A</f>
        <v>90.65595567867035</v>
      </c>
      <c r="Q33" s="139"/>
      <c r="R33" s="140"/>
    </row>
    <row r="34" spans="1:18" s="6" customFormat="1" ht="1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>#N/A</f>
        <v>2943.979999999996</v>
      </c>
      <c r="H34" s="35">
        <f>#N/A</f>
        <v>106.25912618262994</v>
      </c>
      <c r="I34" s="50">
        <f>#N/A</f>
        <v>-116791.02</v>
      </c>
      <c r="J34" s="178">
        <f>#N/A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>#N/A</f>
        <v>-4698.75</v>
      </c>
      <c r="P34" s="50">
        <f>#N/A</f>
        <v>73.26381973882614</v>
      </c>
      <c r="Q34" s="139"/>
      <c r="R34" s="140"/>
    </row>
    <row r="35" spans="1:18" s="6" customFormat="1" ht="1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>#N/A</f>
        <v>823.2599999999984</v>
      </c>
      <c r="H35" s="35">
        <f>#N/A</f>
        <v>103.46096607390591</v>
      </c>
      <c r="I35" s="50">
        <f>#N/A</f>
        <v>-73589.74</v>
      </c>
      <c r="J35" s="178">
        <f>#N/A</f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>#N/A</f>
        <v>-689.0300000000025</v>
      </c>
      <c r="P35" s="50">
        <f>#N/A</f>
        <v>93.13202093197107</v>
      </c>
      <c r="Q35" s="139"/>
      <c r="R35" s="140"/>
    </row>
    <row r="36" spans="1:18" s="6" customFormat="1" ht="1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>#N/A</f>
        <v>416.28</v>
      </c>
      <c r="H36" s="137">
        <f>#N/A</f>
        <v>478.43636363636364</v>
      </c>
      <c r="I36" s="136">
        <f>#N/A</f>
        <v>-473.72</v>
      </c>
      <c r="J36" s="136">
        <f>#N/A</f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>#N/A</f>
        <v>214.76999999999998</v>
      </c>
      <c r="P36" s="50">
        <f>#N/A</f>
        <v>4004.9090909090905</v>
      </c>
      <c r="Q36" s="139"/>
      <c r="R36" s="140"/>
    </row>
    <row r="37" spans="1:18" s="6" customFormat="1" ht="1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>#N/A</f>
        <v>37.7</v>
      </c>
      <c r="H37" s="137"/>
      <c r="I37" s="136">
        <f>#N/A</f>
        <v>-1462.3</v>
      </c>
      <c r="J37" s="136">
        <f>#N/A</f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>#N/A</f>
        <v>31.450000000000003</v>
      </c>
      <c r="P37" s="50"/>
      <c r="Q37" s="139"/>
      <c r="R37" s="140"/>
    </row>
    <row r="38" spans="1:18" s="6" customFormat="1" ht="1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>#N/A</f>
        <v>369.27999999999884</v>
      </c>
      <c r="H38" s="137">
        <f>#N/A</f>
        <v>101.55965705114667</v>
      </c>
      <c r="I38" s="136">
        <f>#N/A</f>
        <v>-71653.72</v>
      </c>
      <c r="J38" s="136">
        <f>#N/A</f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>#N/A</f>
        <v>-935.2500000000018</v>
      </c>
      <c r="P38" s="50">
        <f>#N/A</f>
        <v>90.67268375386455</v>
      </c>
      <c r="Q38" s="139"/>
      <c r="R38" s="140"/>
    </row>
    <row r="39" spans="1:18" s="6" customFormat="1" ht="1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>#N/A</f>
        <v>9.620000000000001</v>
      </c>
      <c r="H39" s="35">
        <f>#N/A</f>
        <v>220.25</v>
      </c>
      <c r="I39" s="50">
        <f>#N/A</f>
        <v>-52.379999999999995</v>
      </c>
      <c r="J39" s="178">
        <f>#N/A</f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>#N/A</f>
        <v>1.4000000000000004</v>
      </c>
      <c r="P39" s="50">
        <f>#N/A</f>
        <v>170.00000000000003</v>
      </c>
      <c r="Q39" s="139"/>
      <c r="R39" s="140"/>
    </row>
    <row r="40" spans="1:18" s="6" customFormat="1" ht="30.7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>#N/A</f>
        <v>12.89</v>
      </c>
      <c r="H40" s="35"/>
      <c r="I40" s="50">
        <f>#N/A</f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>#N/A</f>
        <v>-74.78</v>
      </c>
      <c r="P40" s="50"/>
      <c r="Q40" s="139"/>
      <c r="R40" s="140"/>
    </row>
    <row r="41" spans="1:18" s="6" customFormat="1" ht="1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>#N/A</f>
        <v>2098.209999999999</v>
      </c>
      <c r="H41" s="35">
        <f>#N/A</f>
        <v>109.02844234079174</v>
      </c>
      <c r="I41" s="50">
        <f>#N/A</f>
        <v>-43161.79</v>
      </c>
      <c r="J41" s="178">
        <f>#N/A</f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>#N/A</f>
        <v>-3936.34</v>
      </c>
      <c r="P41" s="50">
        <f>#N/A</f>
        <v>47.79389920424403</v>
      </c>
      <c r="Q41" s="139"/>
      <c r="R41" s="140"/>
    </row>
    <row r="42" spans="1:18" s="6" customFormat="1" ht="1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>#N/A</f>
        <v>14.5</v>
      </c>
      <c r="H42" s="35">
        <f>#N/A</f>
        <v>100.73033141936133</v>
      </c>
      <c r="I42" s="50">
        <f>#N/A</f>
        <v>-5500.1</v>
      </c>
      <c r="J42" s="136">
        <f>#N/A</f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>#N/A</f>
        <v>0.35999999999989996</v>
      </c>
      <c r="P42" s="50">
        <f>#N/A</f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>#N/A</f>
        <v>#REF!</v>
      </c>
      <c r="P43" s="50" t="e">
        <f>N43/M43*100</f>
        <v>#REF!</v>
      </c>
      <c r="Q43" s="50"/>
      <c r="R43" s="126"/>
    </row>
    <row r="44" spans="1:18" s="6" customFormat="1" ht="30.7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>#N/A</f>
        <v>#REF!</v>
      </c>
      <c r="P44" s="50" t="e">
        <f>N44/M44*100</f>
        <v>#REF!</v>
      </c>
      <c r="Q44" s="50"/>
      <c r="R44" s="126"/>
    </row>
    <row r="45" spans="1:18" s="6" customFormat="1" ht="30.7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>#N/A</f>
        <v>#REF!</v>
      </c>
      <c r="P45" s="50" t="e">
        <f>F45/M45*100</f>
        <v>#REF!</v>
      </c>
      <c r="Q45" s="50"/>
      <c r="R45" s="126"/>
    </row>
    <row r="46" spans="1:18" s="6" customFormat="1" ht="30.7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1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7.2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>#N/A</f>
        <v>4613.28</v>
      </c>
      <c r="H48" s="45">
        <f>#N/A</f>
        <v>251.95256916996044</v>
      </c>
      <c r="I48" s="31">
        <f>#N/A</f>
        <v>-4917.820000000001</v>
      </c>
      <c r="J48" s="31">
        <f>#N/A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>#N/A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0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>#N/A</f>
        <v>#REF!</v>
      </c>
      <c r="H49" s="35" t="e">
        <f>#N/A</f>
        <v>#REF!</v>
      </c>
      <c r="I49" s="50" t="e">
        <f>#N/A</f>
        <v>#REF!</v>
      </c>
      <c r="J49" s="50" t="e">
        <f>#N/A</f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>#N/A</f>
        <v>#REF!</v>
      </c>
      <c r="P49" s="50" t="e">
        <f>F49/M49*100</f>
        <v>#REF!</v>
      </c>
      <c r="Q49" s="50"/>
      <c r="R49" s="126"/>
    </row>
    <row r="50" spans="1:18" s="6" customFormat="1" ht="1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>#N/A</f>
        <v>0</v>
      </c>
      <c r="H50" s="35" t="e">
        <f>#N/A</f>
        <v>#DIV/0!</v>
      </c>
      <c r="I50" s="50" t="e">
        <f>#N/A</f>
        <v>#REF!</v>
      </c>
      <c r="J50" s="50" t="e">
        <f>#N/A</f>
        <v>#REF!</v>
      </c>
      <c r="K50" s="50"/>
      <c r="L50" s="50"/>
      <c r="M50" s="52"/>
      <c r="N50" s="52"/>
      <c r="O50" s="47">
        <f>#N/A</f>
        <v>0</v>
      </c>
      <c r="P50" s="50" t="e">
        <f>F50/M50*100</f>
        <v>#DIV/0!</v>
      </c>
      <c r="Q50" s="50"/>
      <c r="R50" s="126"/>
    </row>
    <row r="51" spans="1:18" s="6" customFormat="1" ht="46.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>#N/A</f>
        <v>-38.69</v>
      </c>
      <c r="H51" s="35">
        <f>#N/A</f>
        <v>-10.542857142857143</v>
      </c>
      <c r="I51" s="50">
        <f>#N/A</f>
        <v>-203.69</v>
      </c>
      <c r="J51" s="50">
        <f>#N/A</f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>#N/A</f>
        <v>-9.83</v>
      </c>
      <c r="P51" s="50">
        <f>#N/A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0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>#N/A</f>
        <v>0</v>
      </c>
      <c r="H52" s="35" t="e">
        <f>#N/A</f>
        <v>#DIV/0!</v>
      </c>
      <c r="I52" s="50">
        <f>#N/A</f>
        <v>0</v>
      </c>
      <c r="J52" s="50" t="e">
        <f>#N/A</f>
        <v>#DIV/0!</v>
      </c>
      <c r="K52" s="50">
        <f>#N/A</f>
        <v>-15.87</v>
      </c>
      <c r="L52" s="50">
        <f>#N/A</f>
        <v>0</v>
      </c>
      <c r="M52" s="35">
        <f>E52-лютий!E52</f>
        <v>0</v>
      </c>
      <c r="N52" s="35">
        <f>F52-лютий!F52</f>
        <v>0</v>
      </c>
      <c r="O52" s="47">
        <f>#N/A</f>
        <v>0</v>
      </c>
      <c r="P52" s="50" t="e">
        <f>#N/A</f>
        <v>#DIV/0!</v>
      </c>
      <c r="Q52" s="50"/>
      <c r="R52" s="126"/>
    </row>
    <row r="53" spans="1:18" s="6" customFormat="1" ht="30.7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>#N/A</f>
        <v>0</v>
      </c>
      <c r="H53" s="35" t="e">
        <f>#N/A</f>
        <v>#DIV/0!</v>
      </c>
      <c r="I53" s="50">
        <f>#N/A</f>
        <v>0</v>
      </c>
      <c r="J53" s="50" t="e">
        <f>#N/A</f>
        <v>#DIV/0!</v>
      </c>
      <c r="K53" s="50">
        <f>#N/A</f>
        <v>-15.87</v>
      </c>
      <c r="L53" s="50">
        <f>#N/A</f>
        <v>0</v>
      </c>
      <c r="M53" s="35">
        <f>E53-лютий!E53</f>
        <v>0</v>
      </c>
      <c r="N53" s="35">
        <f>F53-лютий!F53</f>
        <v>0</v>
      </c>
      <c r="O53" s="47">
        <f>#N/A</f>
        <v>0</v>
      </c>
      <c r="P53" s="50" t="e">
        <f>#N/A</f>
        <v>#DIV/0!</v>
      </c>
      <c r="Q53" s="50"/>
      <c r="R53" s="126"/>
    </row>
    <row r="54" spans="1:18" s="6" customFormat="1" ht="30.7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>#N/A</f>
        <v>0</v>
      </c>
      <c r="H54" s="35" t="e">
        <f>#N/A</f>
        <v>#DIV/0!</v>
      </c>
      <c r="I54" s="50">
        <f>#N/A</f>
        <v>0</v>
      </c>
      <c r="J54" s="50" t="e">
        <f>#N/A</f>
        <v>#DIV/0!</v>
      </c>
      <c r="K54" s="50">
        <f>#N/A</f>
        <v>-15.87</v>
      </c>
      <c r="L54" s="50">
        <f>#N/A</f>
        <v>0</v>
      </c>
      <c r="M54" s="35">
        <f>E54-лютий!E54</f>
        <v>0</v>
      </c>
      <c r="N54" s="35">
        <f>F54-лютий!F54</f>
        <v>0</v>
      </c>
      <c r="O54" s="47">
        <f>#N/A</f>
        <v>0</v>
      </c>
      <c r="P54" s="50" t="e">
        <f>#N/A</f>
        <v>#DIV/0!</v>
      </c>
      <c r="Q54" s="50"/>
      <c r="R54" s="126"/>
    </row>
    <row r="55" spans="1:18" s="6" customFormat="1" ht="1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>#N/A</f>
        <v>0</v>
      </c>
      <c r="H55" s="35" t="e">
        <f>#N/A</f>
        <v>#DIV/0!</v>
      </c>
      <c r="I55" s="50">
        <f>#N/A</f>
        <v>0</v>
      </c>
      <c r="J55" s="50" t="e">
        <f>#N/A</f>
        <v>#DIV/0!</v>
      </c>
      <c r="K55" s="50">
        <f>#N/A</f>
        <v>-15.87</v>
      </c>
      <c r="L55" s="50">
        <f>#N/A</f>
        <v>0</v>
      </c>
      <c r="M55" s="35">
        <f>E55-лютий!E55</f>
        <v>0</v>
      </c>
      <c r="N55" s="35">
        <f>F55-лютий!F55</f>
        <v>0</v>
      </c>
      <c r="O55" s="47">
        <f>#N/A</f>
        <v>0</v>
      </c>
      <c r="P55" s="50" t="e">
        <f>#N/A</f>
        <v>#DIV/0!</v>
      </c>
      <c r="Q55" s="50"/>
      <c r="R55" s="126"/>
    </row>
    <row r="56" spans="1:18" s="6" customFormat="1" ht="46.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>#N/A</f>
        <v>0</v>
      </c>
      <c r="H56" s="35" t="e">
        <f>#N/A</f>
        <v>#DIV/0!</v>
      </c>
      <c r="I56" s="50">
        <f>#N/A</f>
        <v>0</v>
      </c>
      <c r="J56" s="50" t="e">
        <f>#N/A</f>
        <v>#DIV/0!</v>
      </c>
      <c r="K56" s="50">
        <f>#N/A</f>
        <v>-15.87</v>
      </c>
      <c r="L56" s="50">
        <f>#N/A</f>
        <v>0</v>
      </c>
      <c r="M56" s="35">
        <f>E56-лютий!E56</f>
        <v>0</v>
      </c>
      <c r="N56" s="35">
        <f>F56-лютий!F56</f>
        <v>0</v>
      </c>
      <c r="O56" s="47">
        <f>#N/A</f>
        <v>0</v>
      </c>
      <c r="P56" s="50" t="e">
        <f>#N/A</f>
        <v>#DIV/0!</v>
      </c>
      <c r="Q56" s="50"/>
      <c r="R56" s="126"/>
    </row>
    <row r="57" spans="1:18" s="6" customFormat="1" ht="46.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>#N/A</f>
        <v>0</v>
      </c>
      <c r="H57" s="35" t="e">
        <f>#N/A</f>
        <v>#DIV/0!</v>
      </c>
      <c r="I57" s="50">
        <f>#N/A</f>
        <v>0</v>
      </c>
      <c r="J57" s="50" t="e">
        <f>#N/A</f>
        <v>#DIV/0!</v>
      </c>
      <c r="K57" s="50">
        <f>#N/A</f>
        <v>-15.87</v>
      </c>
      <c r="L57" s="50">
        <f>#N/A</f>
        <v>0</v>
      </c>
      <c r="M57" s="35">
        <f>E57-лютий!E57</f>
        <v>0</v>
      </c>
      <c r="N57" s="35">
        <f>F57-лютий!F57</f>
        <v>0</v>
      </c>
      <c r="O57" s="47">
        <f>#N/A</f>
        <v>0</v>
      </c>
      <c r="P57" s="50" t="e">
        <f>#N/A</f>
        <v>#DIV/0!</v>
      </c>
      <c r="Q57" s="50"/>
      <c r="R57" s="126"/>
    </row>
    <row r="58" spans="1:18" s="6" customFormat="1" ht="30.7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>#N/A</f>
        <v>0</v>
      </c>
      <c r="H58" s="35" t="e">
        <f>#N/A</f>
        <v>#DIV/0!</v>
      </c>
      <c r="I58" s="50">
        <f>#N/A</f>
        <v>0</v>
      </c>
      <c r="J58" s="50" t="e">
        <f>#N/A</f>
        <v>#DIV/0!</v>
      </c>
      <c r="K58" s="50">
        <f>#N/A</f>
        <v>-15.87</v>
      </c>
      <c r="L58" s="50">
        <f>#N/A</f>
        <v>0</v>
      </c>
      <c r="M58" s="35">
        <f>E58-лютий!E58</f>
        <v>0</v>
      </c>
      <c r="N58" s="35">
        <f>F58-лютий!F58</f>
        <v>0</v>
      </c>
      <c r="O58" s="47">
        <f>#N/A</f>
        <v>0</v>
      </c>
      <c r="P58" s="50" t="e">
        <f>#N/A</f>
        <v>#DIV/0!</v>
      </c>
      <c r="Q58" s="50"/>
      <c r="R58" s="126"/>
    </row>
    <row r="59" spans="1:18" s="6" customFormat="1" ht="1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>#N/A</f>
        <v>0</v>
      </c>
      <c r="H59" s="35" t="e">
        <f>#N/A</f>
        <v>#DIV/0!</v>
      </c>
      <c r="I59" s="50">
        <f>#N/A</f>
        <v>0</v>
      </c>
      <c r="J59" s="50" t="e">
        <f>#N/A</f>
        <v>#DIV/0!</v>
      </c>
      <c r="K59" s="50">
        <f>#N/A</f>
        <v>-15.87</v>
      </c>
      <c r="L59" s="50">
        <f>#N/A</f>
        <v>0</v>
      </c>
      <c r="M59" s="35">
        <f>E59-лютий!E59</f>
        <v>0</v>
      </c>
      <c r="N59" s="35">
        <f>F59-лютий!F59</f>
        <v>0</v>
      </c>
      <c r="O59" s="47">
        <f>#N/A</f>
        <v>0</v>
      </c>
      <c r="P59" s="50" t="e">
        <f>#N/A</f>
        <v>#DIV/0!</v>
      </c>
      <c r="Q59" s="50"/>
      <c r="R59" s="126"/>
    </row>
    <row r="60" spans="1:18" s="6" customFormat="1" ht="30.7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>#N/A</f>
        <v>0</v>
      </c>
      <c r="H60" s="35"/>
      <c r="I60" s="50">
        <f>#N/A</f>
        <v>0</v>
      </c>
      <c r="J60" s="50"/>
      <c r="K60" s="50">
        <f>#N/A</f>
        <v>-15.87</v>
      </c>
      <c r="L60" s="50">
        <f>#N/A</f>
        <v>0</v>
      </c>
      <c r="M60" s="35">
        <f>E60-лютий!E60</f>
        <v>0</v>
      </c>
      <c r="N60" s="35">
        <f>F60-лютий!F60</f>
        <v>0</v>
      </c>
      <c r="O60" s="47">
        <f>#N/A</f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>#N/A</f>
        <v>4.04</v>
      </c>
      <c r="H61" s="35"/>
      <c r="I61" s="50">
        <f>#N/A</f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>#N/A</f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0.7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>#N/A</f>
        <v>-1</v>
      </c>
      <c r="H62" s="35">
        <f>F62/E62*100</f>
        <v>0</v>
      </c>
      <c r="I62" s="50">
        <f>#N/A</f>
        <v>-6.5</v>
      </c>
      <c r="J62" s="50">
        <f>#N/A</f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>#N/A</f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>#N/A</f>
        <v>5.760000000000002</v>
      </c>
      <c r="H63" s="35">
        <f>F63/E63*100</f>
        <v>123.04000000000002</v>
      </c>
      <c r="I63" s="50">
        <f>#N/A</f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>#N/A</f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7.2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>#N/A</f>
        <v>0</v>
      </c>
      <c r="H64" s="35" t="e">
        <f>F64/E64*100</f>
        <v>#DIV/0!</v>
      </c>
      <c r="I64" s="50">
        <f>#N/A</f>
        <v>0</v>
      </c>
      <c r="J64" s="50" t="e">
        <f>#N/A</f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>#N/A</f>
        <v>0</v>
      </c>
      <c r="P64" s="50" t="e">
        <f>N64/M64*100</f>
        <v>#DIV/0!</v>
      </c>
      <c r="Q64" s="50"/>
      <c r="R64" s="126"/>
    </row>
    <row r="65" spans="1:18" s="6" customFormat="1" ht="1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>#N/A</f>
        <v>0</v>
      </c>
      <c r="H65" s="35" t="e">
        <f>F65/E65*100</f>
        <v>#DIV/0!</v>
      </c>
      <c r="I65" s="50">
        <f>#N/A</f>
        <v>0</v>
      </c>
      <c r="J65" s="50" t="e">
        <f>#N/A</f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>#N/A</f>
        <v>0</v>
      </c>
      <c r="P65" s="50" t="e">
        <f>N65/M65*100</f>
        <v>#DIV/0!</v>
      </c>
      <c r="Q65" s="50"/>
      <c r="R65" s="126"/>
    </row>
    <row r="66" spans="1:18" s="6" customFormat="1" ht="1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>#N/A</f>
        <v>0</v>
      </c>
      <c r="H66" s="35" t="e">
        <f>F66/E66*100</f>
        <v>#DIV/0!</v>
      </c>
      <c r="I66" s="50">
        <f>#N/A</f>
        <v>0</v>
      </c>
      <c r="J66" s="50" t="e">
        <f>#N/A</f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>#N/A</f>
        <v>0</v>
      </c>
      <c r="P66" s="50" t="e">
        <f>N66/M66*100</f>
        <v>#DIV/0!</v>
      </c>
      <c r="Q66" s="50"/>
      <c r="R66" s="126"/>
    </row>
    <row r="67" spans="1:18" s="6" customFormat="1" ht="30.7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>#N/A</f>
        <v>0</v>
      </c>
      <c r="H67" s="35"/>
      <c r="I67" s="50">
        <f>#N/A</f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>#N/A</f>
        <v>0</v>
      </c>
      <c r="P67" s="50"/>
      <c r="Q67" s="50"/>
      <c r="R67" s="126"/>
    </row>
    <row r="68" spans="1:18" s="6" customFormat="1" ht="46.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>#N/A</f>
        <v>0</v>
      </c>
      <c r="H68" s="35"/>
      <c r="I68" s="50">
        <f>#N/A</f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>#N/A</f>
        <v>0</v>
      </c>
      <c r="P68" s="50"/>
      <c r="Q68" s="50"/>
      <c r="R68" s="126"/>
    </row>
    <row r="69" spans="1:18" s="6" customFormat="1" ht="46.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>#N/A</f>
        <v>2528.58</v>
      </c>
      <c r="H70" s="35"/>
      <c r="I70" s="50">
        <f>#N/A</f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0.7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>#N/A</f>
        <v>156.1400000000001</v>
      </c>
      <c r="H71" s="35">
        <f>F71/E71*100</f>
        <v>108.72290502793295</v>
      </c>
      <c r="I71" s="50">
        <f>#N/A</f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>#N/A</f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>#N/A</f>
        <v>1951.98</v>
      </c>
      <c r="H72" s="35">
        <f>F72/E72*100</f>
        <v>948.6869565217391</v>
      </c>
      <c r="I72" s="50">
        <f>#N/A</f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>#N/A</f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6.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>#N/A</f>
        <v>0</v>
      </c>
      <c r="H73" s="35"/>
      <c r="I73" s="50">
        <f>#N/A</f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>#N/A</f>
        <v>0</v>
      </c>
      <c r="P73" s="50"/>
      <c r="Q73" s="50">
        <f>N73-0</f>
        <v>0</v>
      </c>
      <c r="R73" s="126"/>
    </row>
    <row r="74" spans="1:18" s="6" customFormat="1" ht="1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>#N/A</f>
        <v>0</v>
      </c>
      <c r="H74" s="35" t="e">
        <f>F74/E74*100</f>
        <v>#DIV/0!</v>
      </c>
      <c r="I74" s="50">
        <f>#N/A</f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>#N/A</f>
        <v>0</v>
      </c>
      <c r="P74" s="50" t="e">
        <f>#N/A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>#N/A</f>
        <v>10.470000000000027</v>
      </c>
      <c r="H75" s="35">
        <f>F75/E75*100</f>
        <v>101.10210526315791</v>
      </c>
      <c r="I75" s="50">
        <f>#N/A</f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>#N/A</f>
        <v>70.23000000000002</v>
      </c>
      <c r="P75" s="50">
        <f>#N/A</f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>#N/A</f>
        <v>0</v>
      </c>
      <c r="H76" s="35" t="e">
        <f>F76/E76*100</f>
        <v>#DIV/0!</v>
      </c>
      <c r="I76" s="50">
        <f>#N/A</f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>#N/A</f>
        <v>0</v>
      </c>
      <c r="P76" s="50" t="e">
        <f>#N/A</f>
        <v>#DIV/0!</v>
      </c>
      <c r="Q76" s="50"/>
      <c r="R76" s="126">
        <f>N76/277.38</f>
        <v>0</v>
      </c>
    </row>
    <row r="77" spans="1:18" s="6" customFormat="1" ht="1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>#N/A</f>
        <v>0</v>
      </c>
      <c r="H77" s="35" t="e">
        <f>F77/E77*100</f>
        <v>#DIV/0!</v>
      </c>
      <c r="I77" s="50">
        <f>#N/A</f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>#N/A</f>
        <v>0</v>
      </c>
      <c r="P77" s="50" t="e">
        <f>#N/A</f>
        <v>#DIV/0!</v>
      </c>
      <c r="Q77" s="50"/>
      <c r="R77" s="126">
        <f>N77/277.38</f>
        <v>0</v>
      </c>
    </row>
    <row r="78" spans="1:18" s="6" customFormat="1" ht="30.75">
      <c r="A78" s="8"/>
      <c r="B78" s="69" t="s">
        <v>127</v>
      </c>
      <c r="C78" s="83"/>
      <c r="D78" s="135"/>
      <c r="E78" s="135"/>
      <c r="F78" s="144">
        <v>239.6</v>
      </c>
      <c r="G78" s="135">
        <f>#N/A</f>
        <v>239.6</v>
      </c>
      <c r="H78" s="137"/>
      <c r="I78" s="136">
        <f>#N/A</f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>#N/A</f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>#N/A</f>
        <v>-5</v>
      </c>
      <c r="H79" s="35"/>
      <c r="I79" s="50">
        <f>#N/A</f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>#N/A</f>
        <v>-5</v>
      </c>
      <c r="P79" s="50"/>
      <c r="Q79" s="50"/>
      <c r="R79" s="126"/>
    </row>
    <row r="80" spans="1:18" s="6" customFormat="1" ht="30.7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>#N/A</f>
        <v>-0.10000000000000053</v>
      </c>
      <c r="H80" s="35">
        <f>F80/E80*100</f>
        <v>98.38709677419354</v>
      </c>
      <c r="I80" s="50">
        <f>#N/A</f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>#N/A</f>
        <v>0.5999999999999996</v>
      </c>
      <c r="P80" s="50">
        <f>#N/A</f>
        <v>127.27272727272725</v>
      </c>
      <c r="Q80" s="50"/>
      <c r="R80" s="126"/>
    </row>
    <row r="81" spans="1:18" s="6" customFormat="1" ht="30.7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>#N/A</f>
        <v>0.02</v>
      </c>
      <c r="H81" s="35"/>
      <c r="I81" s="50">
        <f>#N/A</f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>#N/A</f>
        <v>0</v>
      </c>
      <c r="P81" s="50"/>
      <c r="Q81" s="50"/>
      <c r="R81" s="126"/>
    </row>
    <row r="82" spans="1:22" s="6" customFormat="1" ht="17.2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7.2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7.2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6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0.7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>#N/A</f>
        <v>-14.65</v>
      </c>
      <c r="H87" s="35"/>
      <c r="I87" s="53">
        <f>#N/A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>#N/A</f>
        <v>0</v>
      </c>
      <c r="P87" s="53"/>
      <c r="Q87" s="53">
        <f>N87-24.53</f>
        <v>-24.53</v>
      </c>
      <c r="R87" s="129">
        <f>N87/24.53</f>
        <v>0</v>
      </c>
    </row>
    <row r="88" spans="2:18" ht="1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>#N/A</f>
        <v>-14.65</v>
      </c>
      <c r="H88" s="65"/>
      <c r="I88" s="54">
        <f>#N/A</f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>#N/A</f>
        <v>0</v>
      </c>
      <c r="P88" s="54"/>
      <c r="Q88" s="54">
        <f>N88-92.85</f>
        <v>-92.85</v>
      </c>
      <c r="R88" s="130">
        <f>N88/92.85</f>
        <v>0</v>
      </c>
    </row>
    <row r="89" spans="2:18" ht="46.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>#N/A</f>
        <v>0</v>
      </c>
      <c r="H89" s="35" t="e">
        <f>#N/A</f>
        <v>#DIV/0!</v>
      </c>
      <c r="I89" s="53">
        <f>#N/A</f>
        <v>0</v>
      </c>
      <c r="J89" s="53" t="e">
        <f>#N/A</f>
        <v>#DIV/0!</v>
      </c>
      <c r="K89" s="53"/>
      <c r="L89" s="53"/>
      <c r="M89" s="36">
        <v>0</v>
      </c>
      <c r="N89" s="36">
        <f>F89</f>
        <v>0</v>
      </c>
      <c r="O89" s="47">
        <f>#N/A</f>
        <v>0</v>
      </c>
      <c r="P89" s="53"/>
      <c r="Q89" s="53"/>
      <c r="R89" s="129"/>
    </row>
    <row r="90" spans="2:18" ht="30.7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>#N/A</f>
        <v>33.47</v>
      </c>
      <c r="H90" s="35"/>
      <c r="I90" s="53">
        <f>#N/A</f>
        <v>-2466.53</v>
      </c>
      <c r="J90" s="53">
        <f>#N/A</f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>#N/A</f>
        <v>33.39</v>
      </c>
      <c r="P90" s="53"/>
      <c r="Q90" s="53">
        <f>N90-0.04</f>
        <v>33.35</v>
      </c>
      <c r="R90" s="129">
        <f>N90/0.04</f>
        <v>834.75</v>
      </c>
    </row>
    <row r="91" spans="2:18" ht="1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>#N/A</f>
        <v>871.65</v>
      </c>
      <c r="H91" s="35">
        <f>#N/A</f>
        <v>261.97758905840595</v>
      </c>
      <c r="I91" s="53">
        <f>#N/A</f>
        <v>-10166.22</v>
      </c>
      <c r="J91" s="53">
        <f>#N/A</f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>#N/A</f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0.7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>#N/A</f>
        <v>-285.14</v>
      </c>
      <c r="H92" s="35">
        <f>#N/A</f>
        <v>3.733963538149899</v>
      </c>
      <c r="I92" s="53">
        <f>#N/A</f>
        <v>-2988.94</v>
      </c>
      <c r="J92" s="53">
        <f>#N/A</f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>#N/A</f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3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>#N/A</f>
        <v>619.98</v>
      </c>
      <c r="H93" s="65">
        <f>#N/A</f>
        <v>174.3087267627917</v>
      </c>
      <c r="I93" s="54">
        <f>#N/A</f>
        <v>-15621.69</v>
      </c>
      <c r="J93" s="54">
        <f>#N/A</f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>#N/A</f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6.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>#N/A</f>
        <v>-4</v>
      </c>
      <c r="H94" s="35"/>
      <c r="I94" s="53">
        <f>#N/A</f>
        <v>-35</v>
      </c>
      <c r="J94" s="53">
        <f>#N/A</f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>#N/A</f>
        <v>-4</v>
      </c>
      <c r="P94" s="53"/>
      <c r="Q94" s="53">
        <f>N94-0.16</f>
        <v>-0.16</v>
      </c>
      <c r="R94" s="129">
        <f>N94/0.16</f>
        <v>0</v>
      </c>
    </row>
    <row r="95" spans="2:18" ht="1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>#N/A</f>
        <v>0</v>
      </c>
      <c r="H95" s="35" t="e">
        <f>#N/A</f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>#N/A</f>
        <v>0</v>
      </c>
      <c r="P95" s="56"/>
      <c r="Q95" s="56"/>
      <c r="R95" s="131"/>
    </row>
    <row r="96" spans="2:18" ht="1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0.7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0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0.7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7.2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">
      <c r="B102" s="23" t="s">
        <v>117</v>
      </c>
      <c r="N102" s="29"/>
    </row>
    <row r="103" spans="2:4" ht="15">
      <c r="B103" s="4" t="s">
        <v>119</v>
      </c>
      <c r="C103" s="101">
        <v>0</v>
      </c>
      <c r="D103" s="4" t="s">
        <v>118</v>
      </c>
    </row>
    <row r="104" spans="2:17" ht="30.75">
      <c r="B104" s="71" t="s">
        <v>154</v>
      </c>
      <c r="C104" s="34" t="e">
        <f>IF(O82&lt;0,ABS(O82/C103),0)</f>
        <v>#DIV/0!</v>
      </c>
      <c r="D104" s="4" t="s">
        <v>104</v>
      </c>
      <c r="G104" s="266"/>
      <c r="H104" s="266"/>
      <c r="I104" s="266"/>
      <c r="J104" s="266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63"/>
      <c r="O105" s="263"/>
    </row>
    <row r="106" spans="3:15" ht="15">
      <c r="C106" s="111">
        <v>42093</v>
      </c>
      <c r="D106" s="34">
        <v>8025</v>
      </c>
      <c r="F106" s="155" t="s">
        <v>166</v>
      </c>
      <c r="G106" s="261"/>
      <c r="H106" s="261"/>
      <c r="I106" s="177"/>
      <c r="J106" s="265"/>
      <c r="K106" s="265"/>
      <c r="L106" s="265"/>
      <c r="M106" s="265"/>
      <c r="N106" s="263"/>
      <c r="O106" s="263"/>
    </row>
    <row r="107" spans="3:15" ht="15.75" customHeight="1">
      <c r="C107" s="111">
        <v>42090</v>
      </c>
      <c r="D107" s="34">
        <v>4282.6</v>
      </c>
      <c r="G107" s="277" t="s">
        <v>151</v>
      </c>
      <c r="H107" s="277"/>
      <c r="I107" s="106">
        <f>8909732.21/1000</f>
        <v>8909.73221</v>
      </c>
      <c r="J107" s="262"/>
      <c r="K107" s="262"/>
      <c r="L107" s="262"/>
      <c r="M107" s="262"/>
      <c r="N107" s="263"/>
      <c r="O107" s="263"/>
    </row>
    <row r="108" spans="7:13" ht="15.75" customHeight="1">
      <c r="G108" s="278" t="s">
        <v>234</v>
      </c>
      <c r="H108" s="279"/>
      <c r="I108" s="103">
        <v>0</v>
      </c>
      <c r="J108" s="265"/>
      <c r="K108" s="265"/>
      <c r="L108" s="265"/>
      <c r="M108" s="265"/>
    </row>
    <row r="109" spans="2:13" ht="18.75" customHeight="1">
      <c r="B109" s="270" t="s">
        <v>160</v>
      </c>
      <c r="C109" s="271"/>
      <c r="D109" s="108">
        <f>147433239.77/1000</f>
        <v>147433.23977000001</v>
      </c>
      <c r="E109" s="73"/>
      <c r="F109" s="156" t="s">
        <v>147</v>
      </c>
      <c r="G109" s="277" t="s">
        <v>149</v>
      </c>
      <c r="H109" s="277"/>
      <c r="I109" s="107">
        <f>138523507.56/1000</f>
        <v>138523.50756</v>
      </c>
      <c r="J109" s="265"/>
      <c r="K109" s="265"/>
      <c r="L109" s="265"/>
      <c r="M109" s="265"/>
    </row>
    <row r="110" spans="7:12" ht="9.75" customHeight="1">
      <c r="G110" s="261"/>
      <c r="H110" s="261"/>
      <c r="I110" s="90"/>
      <c r="J110" s="91"/>
      <c r="K110" s="91"/>
      <c r="L110" s="91"/>
    </row>
    <row r="111" spans="2:12" ht="22.5" customHeight="1" hidden="1">
      <c r="B111" s="267" t="s">
        <v>167</v>
      </c>
      <c r="C111" s="268"/>
      <c r="D111" s="110">
        <v>0</v>
      </c>
      <c r="E111" s="70" t="s">
        <v>104</v>
      </c>
      <c r="G111" s="261"/>
      <c r="H111" s="261"/>
      <c r="I111" s="90"/>
      <c r="J111" s="91"/>
      <c r="K111" s="91"/>
      <c r="L111" s="91"/>
    </row>
    <row r="112" spans="4:15" ht="15">
      <c r="D112" s="105"/>
      <c r="N112" s="261"/>
      <c r="O112" s="261"/>
    </row>
    <row r="113" spans="4:15" ht="15">
      <c r="D113" s="104"/>
      <c r="I113" s="34"/>
      <c r="N113" s="269"/>
      <c r="O113" s="269"/>
    </row>
    <row r="114" spans="14:15" ht="15">
      <c r="N114" s="261"/>
      <c r="O114" s="261"/>
    </row>
  </sheetData>
  <sheetProtection/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F3:J3"/>
    <mergeCell ref="M3:M5"/>
    <mergeCell ref="N3:R3"/>
    <mergeCell ref="E4:E5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zoomScalePageLayoutView="0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1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50390625" style="4" customWidth="1"/>
    <col min="9" max="9" width="12.75390625" style="4" customWidth="1"/>
    <col min="10" max="10" width="9.5039062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7" t="s">
        <v>227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117"/>
      <c r="R1" s="118"/>
    </row>
    <row r="2" spans="2:18" s="1" customFormat="1" ht="15.75" customHeight="1">
      <c r="B2" s="248"/>
      <c r="C2" s="248"/>
      <c r="D2" s="24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49"/>
      <c r="B3" s="276" t="s">
        <v>205</v>
      </c>
      <c r="C3" s="252" t="s">
        <v>0</v>
      </c>
      <c r="D3" s="274" t="s">
        <v>216</v>
      </c>
      <c r="E3" s="40"/>
      <c r="F3" s="253" t="s">
        <v>107</v>
      </c>
      <c r="G3" s="254"/>
      <c r="H3" s="254"/>
      <c r="I3" s="254"/>
      <c r="J3" s="275"/>
      <c r="K3" s="114"/>
      <c r="L3" s="114"/>
      <c r="M3" s="255" t="s">
        <v>221</v>
      </c>
      <c r="N3" s="236" t="s">
        <v>202</v>
      </c>
      <c r="O3" s="236"/>
      <c r="P3" s="236"/>
      <c r="Q3" s="236"/>
      <c r="R3" s="236"/>
    </row>
    <row r="4" spans="1:18" ht="22.5" customHeight="1">
      <c r="A4" s="249"/>
      <c r="B4" s="276"/>
      <c r="C4" s="252"/>
      <c r="D4" s="274"/>
      <c r="E4" s="237" t="s">
        <v>199</v>
      </c>
      <c r="F4" s="239" t="s">
        <v>116</v>
      </c>
      <c r="G4" s="272" t="s">
        <v>200</v>
      </c>
      <c r="H4" s="243" t="s">
        <v>201</v>
      </c>
      <c r="I4" s="241" t="s">
        <v>217</v>
      </c>
      <c r="J4" s="256" t="s">
        <v>218</v>
      </c>
      <c r="K4" s="116" t="s">
        <v>172</v>
      </c>
      <c r="L4" s="121" t="s">
        <v>171</v>
      </c>
      <c r="M4" s="256"/>
      <c r="N4" s="258" t="s">
        <v>226</v>
      </c>
      <c r="O4" s="241" t="s">
        <v>136</v>
      </c>
      <c r="P4" s="260" t="s">
        <v>135</v>
      </c>
      <c r="Q4" s="122" t="s">
        <v>172</v>
      </c>
      <c r="R4" s="123" t="s">
        <v>171</v>
      </c>
    </row>
    <row r="5" spans="1:19" ht="92.25" customHeight="1">
      <c r="A5" s="250"/>
      <c r="B5" s="276"/>
      <c r="C5" s="252"/>
      <c r="D5" s="274"/>
      <c r="E5" s="238"/>
      <c r="F5" s="240"/>
      <c r="G5" s="273"/>
      <c r="H5" s="244"/>
      <c r="I5" s="242"/>
      <c r="J5" s="257"/>
      <c r="K5" s="245" t="s">
        <v>224</v>
      </c>
      <c r="L5" s="246"/>
      <c r="M5" s="257"/>
      <c r="N5" s="259"/>
      <c r="O5" s="242"/>
      <c r="P5" s="260"/>
      <c r="Q5" s="245" t="s">
        <v>176</v>
      </c>
      <c r="R5" s="24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7.2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>#N/A</f>
        <v>12246.400000000009</v>
      </c>
      <c r="H8" s="45">
        <f>F8/E8*100</f>
        <v>115.48060878798606</v>
      </c>
      <c r="I8" s="31">
        <f>#N/A</f>
        <v>-426074.6</v>
      </c>
      <c r="J8" s="31">
        <f>#N/A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>#N/A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0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>#N/A</f>
        <v>49687.49</v>
      </c>
      <c r="H9" s="16"/>
      <c r="I9" s="50">
        <f>#N/A</f>
        <v>-263002.51</v>
      </c>
      <c r="J9" s="50">
        <f>#N/A</f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>#N/A</f>
        <v>2554.113999999994</v>
      </c>
      <c r="P9" s="50">
        <f>F9/M9*100</f>
        <v>207.68888981775623</v>
      </c>
      <c r="Q9" s="50"/>
      <c r="R9" s="126"/>
    </row>
    <row r="10" spans="1:19" s="6" customFormat="1" ht="1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>#N/A</f>
        <v>4758.0899999999965</v>
      </c>
      <c r="H10" s="35">
        <f>#N/A</f>
        <v>110.59014809901757</v>
      </c>
      <c r="I10" s="50">
        <f>#N/A</f>
        <v>-263002.51</v>
      </c>
      <c r="J10" s="50">
        <f>#N/A</f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>#N/A</f>
        <v>2554.113999999994</v>
      </c>
      <c r="P10" s="50">
        <f>#N/A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>#N/A</f>
        <v>0</v>
      </c>
      <c r="H11" s="35" t="e">
        <f>#N/A</f>
        <v>#DIV/0!</v>
      </c>
      <c r="I11" s="50">
        <f>#N/A</f>
        <v>0</v>
      </c>
      <c r="J11" s="50" t="e">
        <f>#N/A</f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>#N/A</f>
        <v>0</v>
      </c>
      <c r="P11" s="50" t="e">
        <f>#N/A</f>
        <v>#DIV/0!</v>
      </c>
      <c r="Q11" s="50"/>
      <c r="R11" s="126"/>
    </row>
    <row r="12" spans="1:18" s="6" customFormat="1" ht="30.7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>#N/A</f>
        <v>0</v>
      </c>
      <c r="H12" s="35" t="e">
        <f>#N/A</f>
        <v>#DIV/0!</v>
      </c>
      <c r="I12" s="50">
        <f>#N/A</f>
        <v>0</v>
      </c>
      <c r="J12" s="50" t="e">
        <f>#N/A</f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>#N/A</f>
        <v>0</v>
      </c>
      <c r="P12" s="50" t="e">
        <f>#N/A</f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>#N/A</f>
        <v>0</v>
      </c>
      <c r="H13" s="35" t="e">
        <f>#N/A</f>
        <v>#DIV/0!</v>
      </c>
      <c r="I13" s="50">
        <f>#N/A</f>
        <v>0</v>
      </c>
      <c r="J13" s="50" t="e">
        <f>#N/A</f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>#N/A</f>
        <v>0</v>
      </c>
      <c r="P13" s="50" t="e">
        <f>#N/A</f>
        <v>#DIV/0!</v>
      </c>
      <c r="Q13" s="50"/>
      <c r="R13" s="126"/>
    </row>
    <row r="14" spans="1:18" s="6" customFormat="1" ht="30.7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>#N/A</f>
        <v>0</v>
      </c>
      <c r="H14" s="35" t="e">
        <f>#N/A</f>
        <v>#DIV/0!</v>
      </c>
      <c r="I14" s="50">
        <f>#N/A</f>
        <v>0</v>
      </c>
      <c r="J14" s="50" t="e">
        <f>#N/A</f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>#N/A</f>
        <v>0</v>
      </c>
      <c r="P14" s="50" t="e">
        <f>#N/A</f>
        <v>#DIV/0!</v>
      </c>
      <c r="Q14" s="50"/>
      <c r="R14" s="126"/>
    </row>
    <row r="15" spans="1:18" s="6" customFormat="1" ht="30.7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>#N/A</f>
        <v>0</v>
      </c>
      <c r="H15" s="35" t="e">
        <f>#N/A</f>
        <v>#DIV/0!</v>
      </c>
      <c r="I15" s="50">
        <f>#N/A</f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>#N/A</f>
        <v>0</v>
      </c>
      <c r="P15" s="50" t="e">
        <f>#N/A</f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>#N/A</f>
        <v>0</v>
      </c>
      <c r="H16" s="35" t="e">
        <f>#N/A</f>
        <v>#DIV/0!</v>
      </c>
      <c r="I16" s="50">
        <f>#N/A</f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>#N/A</f>
        <v>0</v>
      </c>
      <c r="P16" s="50" t="e">
        <f>#N/A</f>
        <v>#DIV/0!</v>
      </c>
      <c r="Q16" s="50"/>
      <c r="R16" s="126"/>
    </row>
    <row r="17" spans="1:18" s="6" customFormat="1" ht="1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>#N/A</f>
        <v>0</v>
      </c>
      <c r="H17" s="35" t="e">
        <f>#N/A</f>
        <v>#DIV/0!</v>
      </c>
      <c r="I17" s="50">
        <f>#N/A</f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>#N/A</f>
        <v>0</v>
      </c>
      <c r="P17" s="50" t="e">
        <f>#N/A</f>
        <v>#DIV/0!</v>
      </c>
      <c r="Q17" s="50"/>
      <c r="R17" s="126"/>
    </row>
    <row r="18" spans="1:18" s="6" customFormat="1" ht="1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>#N/A</f>
        <v>0</v>
      </c>
      <c r="H18" s="35" t="e">
        <f>#N/A</f>
        <v>#DIV/0!</v>
      </c>
      <c r="I18" s="50">
        <f>#N/A</f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>#N/A</f>
        <v>0</v>
      </c>
      <c r="P18" s="50" t="e">
        <f>#N/A</f>
        <v>#DIV/0!</v>
      </c>
      <c r="Q18" s="50"/>
      <c r="R18" s="126"/>
    </row>
    <row r="19" spans="1:18" s="6" customFormat="1" ht="30.7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>#N/A</f>
        <v>-976.48</v>
      </c>
      <c r="H19" s="35"/>
      <c r="I19" s="50">
        <f>#N/A</f>
        <v>-1476.48</v>
      </c>
      <c r="J19" s="50">
        <f>#N/A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>#N/A</f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0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>#N/A</f>
        <v>0</v>
      </c>
      <c r="H20" s="35"/>
      <c r="I20" s="50">
        <f>#N/A</f>
        <v>0</v>
      </c>
      <c r="J20" s="50" t="e">
        <f>#N/A</f>
        <v>#DIV/0!</v>
      </c>
      <c r="K20" s="50">
        <f>#N/A</f>
        <v>-194.7</v>
      </c>
      <c r="L20" s="50">
        <f>#N/A</f>
        <v>0</v>
      </c>
      <c r="M20" s="35">
        <f>E20-'січень-2'!E20</f>
        <v>0</v>
      </c>
      <c r="N20" s="35">
        <f>F20-'січень-2'!F20</f>
        <v>0</v>
      </c>
      <c r="O20" s="47">
        <f>#N/A</f>
        <v>0</v>
      </c>
      <c r="P20" s="50"/>
      <c r="Q20" s="50">
        <f>#N/A</f>
        <v>-194.7</v>
      </c>
      <c r="R20" s="126">
        <f>#N/A</f>
        <v>0</v>
      </c>
    </row>
    <row r="21" spans="1:18" s="6" customFormat="1" ht="30.7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>#N/A</f>
        <v>0</v>
      </c>
      <c r="H21" s="35"/>
      <c r="I21" s="50">
        <f>#N/A</f>
        <v>0</v>
      </c>
      <c r="J21" s="50" t="e">
        <f>#N/A</f>
        <v>#DIV/0!</v>
      </c>
      <c r="K21" s="50">
        <f>#N/A</f>
        <v>-194.7</v>
      </c>
      <c r="L21" s="50">
        <f>#N/A</f>
        <v>0</v>
      </c>
      <c r="M21" s="35">
        <f>E21-'січень-2'!E21</f>
        <v>0</v>
      </c>
      <c r="N21" s="35">
        <f>F21-'січень-2'!F21</f>
        <v>0</v>
      </c>
      <c r="O21" s="47">
        <f>#N/A</f>
        <v>0</v>
      </c>
      <c r="P21" s="50"/>
      <c r="Q21" s="50">
        <f>#N/A</f>
        <v>-194.7</v>
      </c>
      <c r="R21" s="126">
        <f>#N/A</f>
        <v>0</v>
      </c>
    </row>
    <row r="22" spans="1:18" s="6" customFormat="1" ht="46.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>#N/A</f>
        <v>0</v>
      </c>
      <c r="H22" s="35"/>
      <c r="I22" s="50">
        <f>#N/A</f>
        <v>0</v>
      </c>
      <c r="J22" s="50" t="e">
        <f>#N/A</f>
        <v>#DIV/0!</v>
      </c>
      <c r="K22" s="50">
        <f>#N/A</f>
        <v>-194.7</v>
      </c>
      <c r="L22" s="50">
        <f>#N/A</f>
        <v>0</v>
      </c>
      <c r="M22" s="35">
        <f>E22-'січень-2'!E22</f>
        <v>0</v>
      </c>
      <c r="N22" s="35">
        <f>F22-'січень-2'!F22</f>
        <v>0</v>
      </c>
      <c r="O22" s="47">
        <f>#N/A</f>
        <v>0</v>
      </c>
      <c r="P22" s="50"/>
      <c r="Q22" s="50">
        <f>#N/A</f>
        <v>-194.7</v>
      </c>
      <c r="R22" s="126">
        <f>#N/A</f>
        <v>0</v>
      </c>
    </row>
    <row r="23" spans="1:18" s="6" customFormat="1" ht="61.5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>#N/A</f>
        <v>0</v>
      </c>
      <c r="H23" s="35"/>
      <c r="I23" s="50">
        <f>#N/A</f>
        <v>0</v>
      </c>
      <c r="J23" s="50" t="e">
        <f>#N/A</f>
        <v>#DIV/0!</v>
      </c>
      <c r="K23" s="50">
        <f>#N/A</f>
        <v>-194.7</v>
      </c>
      <c r="L23" s="50">
        <f>#N/A</f>
        <v>0</v>
      </c>
      <c r="M23" s="35">
        <f>E23-'січень-2'!E23</f>
        <v>0</v>
      </c>
      <c r="N23" s="35">
        <f>F23-'січень-2'!F23</f>
        <v>0</v>
      </c>
      <c r="O23" s="47">
        <f>#N/A</f>
        <v>0</v>
      </c>
      <c r="P23" s="50"/>
      <c r="Q23" s="50">
        <f>#N/A</f>
        <v>-194.7</v>
      </c>
      <c r="R23" s="126">
        <f>#N/A</f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>#N/A</f>
        <v>0</v>
      </c>
      <c r="H24" s="35"/>
      <c r="I24" s="50">
        <f>#N/A</f>
        <v>0</v>
      </c>
      <c r="J24" s="50" t="e">
        <f>#N/A</f>
        <v>#DIV/0!</v>
      </c>
      <c r="K24" s="50">
        <f>#N/A</f>
        <v>-194.7</v>
      </c>
      <c r="L24" s="50">
        <f>#N/A</f>
        <v>0</v>
      </c>
      <c r="M24" s="35">
        <f>E24-'січень-2'!E24</f>
        <v>0</v>
      </c>
      <c r="N24" s="35">
        <f>F24-'січень-2'!F24</f>
        <v>0</v>
      </c>
      <c r="O24" s="47">
        <f>#N/A</f>
        <v>0</v>
      </c>
      <c r="P24" s="50"/>
      <c r="Q24" s="50">
        <f>#N/A</f>
        <v>-194.7</v>
      </c>
      <c r="R24" s="126">
        <f>#N/A</f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>#N/A</f>
        <v>0</v>
      </c>
      <c r="H25" s="35"/>
      <c r="I25" s="50">
        <f>#N/A</f>
        <v>0</v>
      </c>
      <c r="J25" s="50" t="e">
        <f>#N/A</f>
        <v>#DIV/0!</v>
      </c>
      <c r="K25" s="50">
        <f>#N/A</f>
        <v>-194.7</v>
      </c>
      <c r="L25" s="50">
        <f>#N/A</f>
        <v>0</v>
      </c>
      <c r="M25" s="35">
        <f>E25-'січень-2'!E25</f>
        <v>0</v>
      </c>
      <c r="N25" s="35">
        <f>F25-'січень-2'!F25</f>
        <v>0</v>
      </c>
      <c r="O25" s="47">
        <f>#N/A</f>
        <v>0</v>
      </c>
      <c r="P25" s="50"/>
      <c r="Q25" s="50">
        <f>#N/A</f>
        <v>-194.7</v>
      </c>
      <c r="R25" s="126">
        <f>#N/A</f>
        <v>0</v>
      </c>
    </row>
    <row r="26" spans="1:18" s="6" customFormat="1" ht="46.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>#N/A</f>
        <v>0</v>
      </c>
      <c r="H26" s="35"/>
      <c r="I26" s="50">
        <f>#N/A</f>
        <v>0</v>
      </c>
      <c r="J26" s="50" t="e">
        <f>#N/A</f>
        <v>#DIV/0!</v>
      </c>
      <c r="K26" s="50">
        <f>#N/A</f>
        <v>-194.7</v>
      </c>
      <c r="L26" s="50">
        <f>#N/A</f>
        <v>0</v>
      </c>
      <c r="M26" s="35">
        <f>E26-'січень-2'!E26</f>
        <v>0</v>
      </c>
      <c r="N26" s="35">
        <f>F26-'січень-2'!F26</f>
        <v>0</v>
      </c>
      <c r="O26" s="47">
        <f>#N/A</f>
        <v>0</v>
      </c>
      <c r="P26" s="50"/>
      <c r="Q26" s="50">
        <f>#N/A</f>
        <v>-194.7</v>
      </c>
      <c r="R26" s="126">
        <f>#N/A</f>
        <v>0</v>
      </c>
    </row>
    <row r="27" spans="1:18" s="6" customFormat="1" ht="61.5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>#N/A</f>
        <v>0</v>
      </c>
      <c r="H27" s="35"/>
      <c r="I27" s="50">
        <f>#N/A</f>
        <v>0</v>
      </c>
      <c r="J27" s="50" t="e">
        <f>#N/A</f>
        <v>#DIV/0!</v>
      </c>
      <c r="K27" s="50">
        <f>#N/A</f>
        <v>-194.7</v>
      </c>
      <c r="L27" s="50">
        <f>#N/A</f>
        <v>0</v>
      </c>
      <c r="M27" s="35">
        <f>E27-'січень-2'!E27</f>
        <v>0</v>
      </c>
      <c r="N27" s="35">
        <f>F27-'січень-2'!F27</f>
        <v>0</v>
      </c>
      <c r="O27" s="47">
        <f>#N/A</f>
        <v>0</v>
      </c>
      <c r="P27" s="50"/>
      <c r="Q27" s="50">
        <f>#N/A</f>
        <v>-194.7</v>
      </c>
      <c r="R27" s="126">
        <f>#N/A</f>
        <v>0</v>
      </c>
    </row>
    <row r="28" spans="1:18" s="6" customFormat="1" ht="1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>#N/A</f>
        <v>0</v>
      </c>
      <c r="H28" s="35"/>
      <c r="I28" s="50">
        <f>#N/A</f>
        <v>0</v>
      </c>
      <c r="J28" s="50" t="e">
        <f>#N/A</f>
        <v>#DIV/0!</v>
      </c>
      <c r="K28" s="50">
        <f>#N/A</f>
        <v>-194.7</v>
      </c>
      <c r="L28" s="50">
        <f>#N/A</f>
        <v>0</v>
      </c>
      <c r="M28" s="35">
        <f>E28-'січень-2'!E28</f>
        <v>0</v>
      </c>
      <c r="N28" s="35">
        <f>F28-'січень-2'!F28</f>
        <v>0</v>
      </c>
      <c r="O28" s="47">
        <f>#N/A</f>
        <v>0</v>
      </c>
      <c r="P28" s="50"/>
      <c r="Q28" s="50">
        <f>#N/A</f>
        <v>-194.7</v>
      </c>
      <c r="R28" s="126">
        <f>#N/A</f>
        <v>0</v>
      </c>
    </row>
    <row r="29" spans="1:18" s="6" customFormat="1" ht="1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>#N/A</f>
        <v>-902.39</v>
      </c>
      <c r="H29" s="137"/>
      <c r="I29" s="136">
        <f>#N/A</f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>#N/A</f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0.7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>#N/A</f>
        <v>2.8000000000000007</v>
      </c>
      <c r="H30" s="35">
        <f>#N/A</f>
        <v>121.53846153846155</v>
      </c>
      <c r="I30" s="50">
        <f>#N/A</f>
        <v>-3.1999999999999993</v>
      </c>
      <c r="J30" s="50">
        <f>#N/A</f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>#N/A</f>
        <v>2.6800000000000015</v>
      </c>
      <c r="P30" s="50">
        <f>#N/A</f>
        <v>120.61538461538464</v>
      </c>
      <c r="Q30" s="50"/>
      <c r="R30" s="126"/>
    </row>
    <row r="31" spans="1:18" s="6" customFormat="1" ht="46.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>#N/A</f>
        <v>0</v>
      </c>
      <c r="H31" s="35" t="e">
        <f>#N/A</f>
        <v>#DIV/0!</v>
      </c>
      <c r="I31" s="50">
        <f>#N/A</f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>#N/A</f>
        <v>0</v>
      </c>
      <c r="P31" s="50" t="e">
        <f>#N/A</f>
        <v>#DIV/0!</v>
      </c>
      <c r="Q31" s="50"/>
      <c r="R31" s="126"/>
    </row>
    <row r="32" spans="1:18" s="6" customFormat="1" ht="30.7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>#N/A</f>
        <v>0</v>
      </c>
      <c r="H32" s="35" t="e">
        <f>#N/A</f>
        <v>#DIV/0!</v>
      </c>
      <c r="I32" s="50">
        <f>#N/A</f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>#N/A</f>
        <v>0</v>
      </c>
      <c r="P32" s="50" t="e">
        <f>#N/A</f>
        <v>#DIV/0!</v>
      </c>
      <c r="Q32" s="50"/>
      <c r="R32" s="126"/>
    </row>
    <row r="33" spans="1:18" s="6" customFormat="1" ht="46.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>#N/A</f>
        <v>805.1199999999999</v>
      </c>
      <c r="H33" s="35">
        <f>#N/A</f>
        <v>129.6</v>
      </c>
      <c r="I33" s="50">
        <f>#N/A</f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>#N/A</f>
        <v>805.1199999999999</v>
      </c>
      <c r="P33" s="50">
        <f>#N/A</f>
        <v>129.6</v>
      </c>
      <c r="Q33" s="139"/>
      <c r="R33" s="140"/>
    </row>
    <row r="34" spans="1:18" s="6" customFormat="1" ht="1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>#N/A</f>
        <v>7642.729999999996</v>
      </c>
      <c r="H34" s="35">
        <f>#N/A</f>
        <v>125.94229561616402</v>
      </c>
      <c r="I34" s="50">
        <f>#N/A</f>
        <v>-129666.77</v>
      </c>
      <c r="J34" s="178">
        <f>#N/A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>#N/A</f>
        <v>6616.959999999999</v>
      </c>
      <c r="P34" s="50">
        <f>#N/A</f>
        <v>142.90041493775934</v>
      </c>
      <c r="Q34" s="139"/>
      <c r="R34" s="140"/>
    </row>
    <row r="35" spans="1:18" s="6" customFormat="1" ht="1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>#N/A</f>
        <v>1512.2900000000009</v>
      </c>
      <c r="H35" s="35">
        <f>#N/A</f>
        <v>110.99487440474027</v>
      </c>
      <c r="I35" s="50">
        <f>#N/A</f>
        <v>-82933.20999999999</v>
      </c>
      <c r="J35" s="178">
        <f>#N/A</f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>#N/A</f>
        <v>1464.1100000000006</v>
      </c>
      <c r="P35" s="50">
        <f>#N/A</f>
        <v>120.27853185595569</v>
      </c>
      <c r="Q35" s="139"/>
      <c r="R35" s="140"/>
    </row>
    <row r="36" spans="1:18" s="6" customFormat="1" ht="1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>#N/A</f>
        <v>201.51</v>
      </c>
      <c r="H36" s="137">
        <f>#N/A</f>
        <v>292.8325358851675</v>
      </c>
      <c r="I36" s="136">
        <f>#N/A</f>
        <v>-693.99</v>
      </c>
      <c r="J36" s="136">
        <f>#N/A</f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>#N/A</f>
        <v>201.33999999999997</v>
      </c>
      <c r="P36" s="50">
        <f>#N/A</f>
        <v>1106.6999999999998</v>
      </c>
      <c r="Q36" s="139"/>
      <c r="R36" s="140"/>
    </row>
    <row r="37" spans="1:18" s="6" customFormat="1" ht="1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>#N/A</f>
        <v>6.25</v>
      </c>
      <c r="H37" s="137"/>
      <c r="I37" s="136">
        <f>#N/A</f>
        <v>-1493.75</v>
      </c>
      <c r="J37" s="136">
        <f>#N/A</f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>#N/A</f>
        <v>6.25</v>
      </c>
      <c r="P37" s="50"/>
      <c r="Q37" s="139"/>
      <c r="R37" s="140"/>
    </row>
    <row r="38" spans="1:18" s="6" customFormat="1" ht="1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>#N/A</f>
        <v>1304.5300000000007</v>
      </c>
      <c r="H38" s="137">
        <f>#N/A</f>
        <v>109.55699633699633</v>
      </c>
      <c r="I38" s="136">
        <f>#N/A</f>
        <v>-80745.47</v>
      </c>
      <c r="J38" s="136">
        <f>#N/A</f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>#N/A</f>
        <v>1256.5200000000004</v>
      </c>
      <c r="P38" s="50">
        <f>#N/A</f>
        <v>117.45166666666667</v>
      </c>
      <c r="Q38" s="139"/>
      <c r="R38" s="140"/>
    </row>
    <row r="39" spans="1:18" s="6" customFormat="1" ht="1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>#N/A</f>
        <v>8.22</v>
      </c>
      <c r="H39" s="35">
        <f>#N/A</f>
        <v>237</v>
      </c>
      <c r="I39" s="50">
        <f>#N/A</f>
        <v>-55.78</v>
      </c>
      <c r="J39" s="178">
        <f>#N/A</f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>#N/A</f>
        <v>7.82</v>
      </c>
      <c r="P39" s="50">
        <f>#N/A</f>
        <v>295.5</v>
      </c>
      <c r="Q39" s="139"/>
      <c r="R39" s="140"/>
    </row>
    <row r="40" spans="1:18" s="6" customFormat="1" ht="30.7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>#N/A</f>
        <v>87.67</v>
      </c>
      <c r="H40" s="35"/>
      <c r="I40" s="50">
        <f>#N/A</f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>#N/A</f>
        <v>-55.040000000000006</v>
      </c>
      <c r="P40" s="50"/>
      <c r="Q40" s="139"/>
      <c r="R40" s="140"/>
    </row>
    <row r="41" spans="1:18" s="6" customFormat="1" ht="1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>#N/A</f>
        <v>6034.549999999999</v>
      </c>
      <c r="H41" s="35">
        <f>#N/A</f>
        <v>138.43662420382165</v>
      </c>
      <c r="I41" s="50">
        <f>#N/A</f>
        <v>-46765.45</v>
      </c>
      <c r="J41" s="178">
        <f>#N/A</f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>#N/A</f>
        <v>5200.07</v>
      </c>
      <c r="P41" s="50">
        <f>#N/A</f>
        <v>163.41548780487804</v>
      </c>
      <c r="Q41" s="139"/>
      <c r="R41" s="140"/>
    </row>
    <row r="42" spans="1:18" s="6" customFormat="1" ht="1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>#N/A</f>
        <v>14.1400000000001</v>
      </c>
      <c r="H42" s="35">
        <f>#N/A</f>
        <v>100.71230668480177</v>
      </c>
      <c r="I42" s="50">
        <f>#N/A</f>
        <v>-5500.76</v>
      </c>
      <c r="J42" s="136">
        <f>#N/A</f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>#N/A</f>
        <v>15.25</v>
      </c>
      <c r="P42" s="50">
        <f>#N/A</f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>#N/A</f>
        <v>#REF!</v>
      </c>
      <c r="P43" s="50" t="e">
        <f>N43/M43*100</f>
        <v>#REF!</v>
      </c>
      <c r="Q43" s="50"/>
      <c r="R43" s="126"/>
    </row>
    <row r="44" spans="1:18" s="6" customFormat="1" ht="30.7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>#N/A</f>
        <v>#REF!</v>
      </c>
      <c r="P44" s="50" t="e">
        <f>N44/M44*100</f>
        <v>#REF!</v>
      </c>
      <c r="Q44" s="50"/>
      <c r="R44" s="126"/>
    </row>
    <row r="45" spans="1:18" s="6" customFormat="1" ht="30.7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>#N/A</f>
        <v>#REF!</v>
      </c>
      <c r="P45" s="50" t="e">
        <f>F45/M45*100</f>
        <v>#REF!</v>
      </c>
      <c r="Q45" s="50"/>
      <c r="R45" s="126"/>
    </row>
    <row r="46" spans="1:18" s="6" customFormat="1" ht="30.7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1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7.2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>#N/A</f>
        <v>2803.2</v>
      </c>
      <c r="H48" s="45">
        <f>#N/A</f>
        <v>234.73684210526312</v>
      </c>
      <c r="I48" s="31">
        <f>#N/A</f>
        <v>-7683.400000000001</v>
      </c>
      <c r="J48" s="31">
        <f>#N/A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>#N/A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0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>#N/A</f>
        <v>#REF!</v>
      </c>
      <c r="H49" s="35" t="e">
        <f>#N/A</f>
        <v>#REF!</v>
      </c>
      <c r="I49" s="50" t="e">
        <f>#N/A</f>
        <v>#REF!</v>
      </c>
      <c r="J49" s="50" t="e">
        <f>#N/A</f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>#N/A</f>
        <v>#REF!</v>
      </c>
      <c r="P49" s="50" t="e">
        <f>F49/M49*100</f>
        <v>#REF!</v>
      </c>
      <c r="Q49" s="50"/>
      <c r="R49" s="126"/>
    </row>
    <row r="50" spans="1:18" s="6" customFormat="1" ht="1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>#N/A</f>
        <v>0</v>
      </c>
      <c r="H50" s="35" t="e">
        <f>#N/A</f>
        <v>#DIV/0!</v>
      </c>
      <c r="I50" s="50" t="e">
        <f>#N/A</f>
        <v>#REF!</v>
      </c>
      <c r="J50" s="50" t="e">
        <f>#N/A</f>
        <v>#REF!</v>
      </c>
      <c r="K50" s="50"/>
      <c r="L50" s="50"/>
      <c r="M50" s="52"/>
      <c r="N50" s="52"/>
      <c r="O50" s="47">
        <f>#N/A</f>
        <v>0</v>
      </c>
      <c r="P50" s="50" t="e">
        <f>F50/M50*100</f>
        <v>#DIV/0!</v>
      </c>
      <c r="Q50" s="50"/>
      <c r="R50" s="126"/>
    </row>
    <row r="51" spans="1:18" s="6" customFormat="1" ht="46.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>#N/A</f>
        <v>-28.86</v>
      </c>
      <c r="H51" s="35">
        <f>#N/A</f>
        <v>-15.439999999999998</v>
      </c>
      <c r="I51" s="50">
        <f>#N/A</f>
        <v>-203.86</v>
      </c>
      <c r="J51" s="50">
        <f>#N/A</f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>#N/A</f>
        <v>-23.86</v>
      </c>
      <c r="P51" s="50">
        <f>#N/A</f>
        <v>-19.3</v>
      </c>
      <c r="Q51" s="50">
        <f>N51-0</f>
        <v>-3.86</v>
      </c>
      <c r="R51" s="126" t="e">
        <f>N51/0</f>
        <v>#DIV/0!</v>
      </c>
    </row>
    <row r="52" spans="1:18" s="6" customFormat="1" ht="30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>#N/A</f>
        <v>0</v>
      </c>
      <c r="H52" s="35" t="e">
        <f>#N/A</f>
        <v>#DIV/0!</v>
      </c>
      <c r="I52" s="50">
        <f>#N/A</f>
        <v>0</v>
      </c>
      <c r="J52" s="50" t="e">
        <f>#N/A</f>
        <v>#DIV/0!</v>
      </c>
      <c r="K52" s="50">
        <f>#N/A</f>
        <v>-15.87</v>
      </c>
      <c r="L52" s="50">
        <f>#N/A</f>
        <v>0</v>
      </c>
      <c r="M52" s="35">
        <f>E52-'січень-2'!E52</f>
        <v>0</v>
      </c>
      <c r="N52" s="35">
        <f>F52-'січень-2'!F52</f>
        <v>0</v>
      </c>
      <c r="O52" s="47">
        <f>#N/A</f>
        <v>0</v>
      </c>
      <c r="P52" s="50" t="e">
        <f>#N/A</f>
        <v>#DIV/0!</v>
      </c>
      <c r="Q52" s="50"/>
      <c r="R52" s="126"/>
    </row>
    <row r="53" spans="1:18" s="6" customFormat="1" ht="30.7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>#N/A</f>
        <v>0</v>
      </c>
      <c r="H53" s="35" t="e">
        <f>#N/A</f>
        <v>#DIV/0!</v>
      </c>
      <c r="I53" s="50">
        <f>#N/A</f>
        <v>0</v>
      </c>
      <c r="J53" s="50" t="e">
        <f>#N/A</f>
        <v>#DIV/0!</v>
      </c>
      <c r="K53" s="50">
        <f>#N/A</f>
        <v>-15.87</v>
      </c>
      <c r="L53" s="50">
        <f>#N/A</f>
        <v>0</v>
      </c>
      <c r="M53" s="35">
        <f>E53-'січень-2'!E53</f>
        <v>0</v>
      </c>
      <c r="N53" s="35">
        <f>F53-'січень-2'!F53</f>
        <v>0</v>
      </c>
      <c r="O53" s="47">
        <f>#N/A</f>
        <v>0</v>
      </c>
      <c r="P53" s="50" t="e">
        <f>#N/A</f>
        <v>#DIV/0!</v>
      </c>
      <c r="Q53" s="50"/>
      <c r="R53" s="126"/>
    </row>
    <row r="54" spans="1:18" s="6" customFormat="1" ht="30.7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>#N/A</f>
        <v>0</v>
      </c>
      <c r="H54" s="35" t="e">
        <f>#N/A</f>
        <v>#DIV/0!</v>
      </c>
      <c r="I54" s="50">
        <f>#N/A</f>
        <v>0</v>
      </c>
      <c r="J54" s="50" t="e">
        <f>#N/A</f>
        <v>#DIV/0!</v>
      </c>
      <c r="K54" s="50">
        <f>#N/A</f>
        <v>-15.87</v>
      </c>
      <c r="L54" s="50">
        <f>#N/A</f>
        <v>0</v>
      </c>
      <c r="M54" s="35">
        <f>E54-'січень-2'!E54</f>
        <v>0</v>
      </c>
      <c r="N54" s="35">
        <f>F54-'січень-2'!F54</f>
        <v>0</v>
      </c>
      <c r="O54" s="47">
        <f>#N/A</f>
        <v>0</v>
      </c>
      <c r="P54" s="50" t="e">
        <f>#N/A</f>
        <v>#DIV/0!</v>
      </c>
      <c r="Q54" s="50"/>
      <c r="R54" s="126"/>
    </row>
    <row r="55" spans="1:18" s="6" customFormat="1" ht="1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>#N/A</f>
        <v>0</v>
      </c>
      <c r="H55" s="35" t="e">
        <f>#N/A</f>
        <v>#DIV/0!</v>
      </c>
      <c r="I55" s="50">
        <f>#N/A</f>
        <v>0</v>
      </c>
      <c r="J55" s="50" t="e">
        <f>#N/A</f>
        <v>#DIV/0!</v>
      </c>
      <c r="K55" s="50">
        <f>#N/A</f>
        <v>-15.87</v>
      </c>
      <c r="L55" s="50">
        <f>#N/A</f>
        <v>0</v>
      </c>
      <c r="M55" s="35">
        <f>E55-'січень-2'!E55</f>
        <v>0</v>
      </c>
      <c r="N55" s="35">
        <f>F55-'січень-2'!F55</f>
        <v>0</v>
      </c>
      <c r="O55" s="47">
        <f>#N/A</f>
        <v>0</v>
      </c>
      <c r="P55" s="50" t="e">
        <f>#N/A</f>
        <v>#DIV/0!</v>
      </c>
      <c r="Q55" s="50"/>
      <c r="R55" s="126"/>
    </row>
    <row r="56" spans="1:18" s="6" customFormat="1" ht="46.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>#N/A</f>
        <v>0</v>
      </c>
      <c r="H56" s="35" t="e">
        <f>#N/A</f>
        <v>#DIV/0!</v>
      </c>
      <c r="I56" s="50">
        <f>#N/A</f>
        <v>0</v>
      </c>
      <c r="J56" s="50" t="e">
        <f>#N/A</f>
        <v>#DIV/0!</v>
      </c>
      <c r="K56" s="50">
        <f>#N/A</f>
        <v>-15.87</v>
      </c>
      <c r="L56" s="50">
        <f>#N/A</f>
        <v>0</v>
      </c>
      <c r="M56" s="35">
        <f>E56-'січень-2'!E56</f>
        <v>0</v>
      </c>
      <c r="N56" s="35">
        <f>F56-'січень-2'!F56</f>
        <v>0</v>
      </c>
      <c r="O56" s="47">
        <f>#N/A</f>
        <v>0</v>
      </c>
      <c r="P56" s="50" t="e">
        <f>#N/A</f>
        <v>#DIV/0!</v>
      </c>
      <c r="Q56" s="50"/>
      <c r="R56" s="126"/>
    </row>
    <row r="57" spans="1:18" s="6" customFormat="1" ht="46.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>#N/A</f>
        <v>0</v>
      </c>
      <c r="H57" s="35" t="e">
        <f>#N/A</f>
        <v>#DIV/0!</v>
      </c>
      <c r="I57" s="50">
        <f>#N/A</f>
        <v>0</v>
      </c>
      <c r="J57" s="50" t="e">
        <f>#N/A</f>
        <v>#DIV/0!</v>
      </c>
      <c r="K57" s="50">
        <f>#N/A</f>
        <v>-15.87</v>
      </c>
      <c r="L57" s="50">
        <f>#N/A</f>
        <v>0</v>
      </c>
      <c r="M57" s="35">
        <f>E57-'січень-2'!E57</f>
        <v>0</v>
      </c>
      <c r="N57" s="35">
        <f>F57-'січень-2'!F57</f>
        <v>0</v>
      </c>
      <c r="O57" s="47">
        <f>#N/A</f>
        <v>0</v>
      </c>
      <c r="P57" s="50" t="e">
        <f>#N/A</f>
        <v>#DIV/0!</v>
      </c>
      <c r="Q57" s="50"/>
      <c r="R57" s="126"/>
    </row>
    <row r="58" spans="1:18" s="6" customFormat="1" ht="30.7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>#N/A</f>
        <v>0</v>
      </c>
      <c r="H58" s="35" t="e">
        <f>#N/A</f>
        <v>#DIV/0!</v>
      </c>
      <c r="I58" s="50">
        <f>#N/A</f>
        <v>0</v>
      </c>
      <c r="J58" s="50" t="e">
        <f>#N/A</f>
        <v>#DIV/0!</v>
      </c>
      <c r="K58" s="50">
        <f>#N/A</f>
        <v>-15.87</v>
      </c>
      <c r="L58" s="50">
        <f>#N/A</f>
        <v>0</v>
      </c>
      <c r="M58" s="35">
        <f>E58-'січень-2'!E58</f>
        <v>0</v>
      </c>
      <c r="N58" s="35">
        <f>F58-'січень-2'!F58</f>
        <v>0</v>
      </c>
      <c r="O58" s="47">
        <f>#N/A</f>
        <v>0</v>
      </c>
      <c r="P58" s="50" t="e">
        <f>#N/A</f>
        <v>#DIV/0!</v>
      </c>
      <c r="Q58" s="50"/>
      <c r="R58" s="126"/>
    </row>
    <row r="59" spans="1:18" s="6" customFormat="1" ht="1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>#N/A</f>
        <v>0</v>
      </c>
      <c r="H59" s="35" t="e">
        <f>#N/A</f>
        <v>#DIV/0!</v>
      </c>
      <c r="I59" s="50">
        <f>#N/A</f>
        <v>0</v>
      </c>
      <c r="J59" s="50" t="e">
        <f>#N/A</f>
        <v>#DIV/0!</v>
      </c>
      <c r="K59" s="50">
        <f>#N/A</f>
        <v>-15.87</v>
      </c>
      <c r="L59" s="50">
        <f>#N/A</f>
        <v>0</v>
      </c>
      <c r="M59" s="35">
        <f>E59-'січень-2'!E59</f>
        <v>0</v>
      </c>
      <c r="N59" s="35">
        <f>F59-'січень-2'!F59</f>
        <v>0</v>
      </c>
      <c r="O59" s="47">
        <f>#N/A</f>
        <v>0</v>
      </c>
      <c r="P59" s="50" t="e">
        <f>#N/A</f>
        <v>#DIV/0!</v>
      </c>
      <c r="Q59" s="50"/>
      <c r="R59" s="126"/>
    </row>
    <row r="60" spans="1:18" s="6" customFormat="1" ht="30.7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>#N/A</f>
        <v>0</v>
      </c>
      <c r="H60" s="35"/>
      <c r="I60" s="50">
        <f>#N/A</f>
        <v>0</v>
      </c>
      <c r="J60" s="50"/>
      <c r="K60" s="50">
        <f>#N/A</f>
        <v>-15.87</v>
      </c>
      <c r="L60" s="50">
        <f>#N/A</f>
        <v>0</v>
      </c>
      <c r="M60" s="35">
        <f>E60-'січень-2'!E60</f>
        <v>0</v>
      </c>
      <c r="N60" s="35">
        <f>F60-'січень-2'!F60</f>
        <v>0</v>
      </c>
      <c r="O60" s="47">
        <f>#N/A</f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>#N/A</f>
        <v>2.85</v>
      </c>
      <c r="H61" s="35"/>
      <c r="I61" s="50">
        <f>#N/A</f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>#N/A</f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0.7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>#N/A</f>
        <v>-0.5</v>
      </c>
      <c r="H62" s="35">
        <f>F62/E62*100</f>
        <v>0</v>
      </c>
      <c r="I62" s="50">
        <f>#N/A</f>
        <v>-6.5</v>
      </c>
      <c r="J62" s="50">
        <f>#N/A</f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>#N/A</f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>#N/A</f>
        <v>0.8299999999999983</v>
      </c>
      <c r="H63" s="35">
        <f>F63/E63*100</f>
        <v>105.18749999999999</v>
      </c>
      <c r="I63" s="50">
        <f>#N/A</f>
        <v>-123.17</v>
      </c>
      <c r="J63" s="50">
        <v>10</v>
      </c>
      <c r="K63" s="50">
        <f>#N/A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>#N/A</f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7.2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>#N/A</f>
        <v>0</v>
      </c>
      <c r="H64" s="35" t="e">
        <f>F64/E64*100</f>
        <v>#DIV/0!</v>
      </c>
      <c r="I64" s="50">
        <f>#N/A</f>
        <v>0</v>
      </c>
      <c r="J64" s="50" t="e">
        <f>#N/A</f>
        <v>#DIV/0!</v>
      </c>
      <c r="K64" s="50">
        <f>#N/A</f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>#N/A</f>
        <v>0</v>
      </c>
      <c r="P64" s="50" t="e">
        <f>N64/M64*100</f>
        <v>#DIV/0!</v>
      </c>
      <c r="Q64" s="50"/>
      <c r="R64" s="126"/>
    </row>
    <row r="65" spans="1:18" s="6" customFormat="1" ht="1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>#N/A</f>
        <v>0</v>
      </c>
      <c r="H65" s="35" t="e">
        <f>F65/E65*100</f>
        <v>#DIV/0!</v>
      </c>
      <c r="I65" s="50">
        <f>#N/A</f>
        <v>0</v>
      </c>
      <c r="J65" s="50" t="e">
        <f>#N/A</f>
        <v>#DIV/0!</v>
      </c>
      <c r="K65" s="50">
        <f>#N/A</f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>#N/A</f>
        <v>0</v>
      </c>
      <c r="P65" s="50" t="e">
        <f>N65/M65*100</f>
        <v>#DIV/0!</v>
      </c>
      <c r="Q65" s="50"/>
      <c r="R65" s="126"/>
    </row>
    <row r="66" spans="1:18" s="6" customFormat="1" ht="1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>#N/A</f>
        <v>0</v>
      </c>
      <c r="H66" s="35" t="e">
        <f>F66/E66*100</f>
        <v>#DIV/0!</v>
      </c>
      <c r="I66" s="50">
        <f>#N/A</f>
        <v>0</v>
      </c>
      <c r="J66" s="50" t="e">
        <f>#N/A</f>
        <v>#DIV/0!</v>
      </c>
      <c r="K66" s="50">
        <f>#N/A</f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>#N/A</f>
        <v>0</v>
      </c>
      <c r="P66" s="50" t="e">
        <f>N66/M66*100</f>
        <v>#DIV/0!</v>
      </c>
      <c r="Q66" s="50"/>
      <c r="R66" s="126"/>
    </row>
    <row r="67" spans="1:18" s="6" customFormat="1" ht="30.7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>#N/A</f>
        <v>0</v>
      </c>
      <c r="H67" s="35"/>
      <c r="I67" s="50">
        <f>#N/A</f>
        <v>0</v>
      </c>
      <c r="J67" s="50"/>
      <c r="K67" s="50">
        <f>#N/A</f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>#N/A</f>
        <v>0</v>
      </c>
      <c r="P67" s="50"/>
      <c r="Q67" s="50"/>
      <c r="R67" s="126"/>
    </row>
    <row r="68" spans="1:18" s="6" customFormat="1" ht="46.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>#N/A</f>
        <v>0</v>
      </c>
      <c r="H68" s="35"/>
      <c r="I68" s="50">
        <f>#N/A</f>
        <v>0</v>
      </c>
      <c r="J68" s="50"/>
      <c r="K68" s="50">
        <f>#N/A</f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>#N/A</f>
        <v>0</v>
      </c>
      <c r="P68" s="50"/>
      <c r="Q68" s="50"/>
      <c r="R68" s="126"/>
    </row>
    <row r="69" spans="1:18" s="6" customFormat="1" ht="46.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>#N/A</f>
        <v>1559.47</v>
      </c>
      <c r="H70" s="35"/>
      <c r="I70" s="50">
        <f>#N/A</f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0.7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>#N/A</f>
        <v>79.20000000000005</v>
      </c>
      <c r="H71" s="35">
        <f>F71/E71*100</f>
        <v>106.38709677419355</v>
      </c>
      <c r="I71" s="50">
        <f>#N/A</f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>#N/A</f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>#N/A</f>
        <v>1249.47</v>
      </c>
      <c r="H72" s="35">
        <f>F72/E72*100</f>
        <v>938.5704697986578</v>
      </c>
      <c r="I72" s="50">
        <f>#N/A</f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>#N/A</f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6.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>#N/A</f>
        <v>0</v>
      </c>
      <c r="H73" s="35"/>
      <c r="I73" s="50">
        <f>#N/A</f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>#N/A</f>
        <v>0</v>
      </c>
      <c r="P73" s="50"/>
      <c r="Q73" s="50">
        <f>N73-0</f>
        <v>0</v>
      </c>
      <c r="R73" s="126"/>
    </row>
    <row r="74" spans="1:18" s="6" customFormat="1" ht="1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>#N/A</f>
        <v>0</v>
      </c>
      <c r="H74" s="35" t="e">
        <f>F74/E74*100</f>
        <v>#DIV/0!</v>
      </c>
      <c r="I74" s="50">
        <f>#N/A</f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>#N/A</f>
        <v>0</v>
      </c>
      <c r="P74" s="50" t="e">
        <f>#N/A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>#N/A</f>
        <v>-59.75999999999999</v>
      </c>
      <c r="H75" s="35">
        <f>F75/E75*100</f>
        <v>90.80615384615385</v>
      </c>
      <c r="I75" s="50">
        <f>#N/A</f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>#N/A</f>
        <v>-42.95999999999998</v>
      </c>
      <c r="P75" s="50">
        <f>#N/A</f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>#N/A</f>
        <v>0</v>
      </c>
      <c r="H76" s="35" t="e">
        <f>F76/E76*100</f>
        <v>#DIV/0!</v>
      </c>
      <c r="I76" s="50">
        <f>#N/A</f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>#N/A</f>
        <v>0</v>
      </c>
      <c r="P76" s="50" t="e">
        <f>#N/A</f>
        <v>#DIV/0!</v>
      </c>
      <c r="Q76" s="50"/>
      <c r="R76" s="126">
        <f>N76/277.38</f>
        <v>0</v>
      </c>
    </row>
    <row r="77" spans="1:18" s="6" customFormat="1" ht="1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>#N/A</f>
        <v>0</v>
      </c>
      <c r="H77" s="35" t="e">
        <f>F77/E77*100</f>
        <v>#DIV/0!</v>
      </c>
      <c r="I77" s="50">
        <f>#N/A</f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>#N/A</f>
        <v>0</v>
      </c>
      <c r="P77" s="50" t="e">
        <f>#N/A</f>
        <v>#DIV/0!</v>
      </c>
      <c r="Q77" s="50"/>
      <c r="R77" s="126">
        <f>N77/277.38</f>
        <v>0</v>
      </c>
    </row>
    <row r="78" spans="1:18" s="6" customFormat="1" ht="30.75">
      <c r="A78" s="8"/>
      <c r="B78" s="69" t="s">
        <v>127</v>
      </c>
      <c r="C78" s="83"/>
      <c r="D78" s="135"/>
      <c r="E78" s="135"/>
      <c r="F78" s="144">
        <v>142.7</v>
      </c>
      <c r="G78" s="135">
        <f>#N/A</f>
        <v>142.7</v>
      </c>
      <c r="H78" s="137"/>
      <c r="I78" s="136">
        <f>#N/A</f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>#N/A</f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>#N/A</f>
        <v>0</v>
      </c>
      <c r="H79" s="35"/>
      <c r="I79" s="50">
        <f>#N/A</f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>#N/A</f>
        <v>0</v>
      </c>
      <c r="P79" s="50"/>
      <c r="Q79" s="50"/>
      <c r="R79" s="126"/>
    </row>
    <row r="80" spans="1:18" s="6" customFormat="1" ht="30.7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>#N/A</f>
        <v>-0.7000000000000002</v>
      </c>
      <c r="H80" s="35">
        <f>F80/E80*100</f>
        <v>82.5</v>
      </c>
      <c r="I80" s="50">
        <f>#N/A</f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>#N/A</f>
        <v>-0.7000000000000004</v>
      </c>
      <c r="P80" s="50">
        <f>#N/A</f>
        <v>68.18181818181816</v>
      </c>
      <c r="Q80" s="50"/>
      <c r="R80" s="126"/>
    </row>
    <row r="81" spans="1:18" s="6" customFormat="1" ht="30.7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>#N/A</f>
        <v>0.02</v>
      </c>
      <c r="H81" s="35"/>
      <c r="I81" s="50">
        <f>#N/A</f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>#N/A</f>
        <v>0</v>
      </c>
      <c r="P81" s="50"/>
      <c r="Q81" s="50"/>
      <c r="R81" s="126"/>
    </row>
    <row r="82" spans="1:22" s="6" customFormat="1" ht="17.2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7.2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7.2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6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0.7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>#N/A</f>
        <v>-14.65</v>
      </c>
      <c r="H87" s="35"/>
      <c r="I87" s="53">
        <f>#N/A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>#N/A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>#N/A</f>
        <v>-14.65</v>
      </c>
      <c r="H88" s="65"/>
      <c r="I88" s="54">
        <f>#N/A</f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>#N/A</f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6.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>#N/A</f>
        <v>0</v>
      </c>
      <c r="H89" s="35" t="e">
        <f>#N/A</f>
        <v>#DIV/0!</v>
      </c>
      <c r="I89" s="53">
        <f>#N/A</f>
        <v>0</v>
      </c>
      <c r="J89" s="53" t="e">
        <f>#N/A</f>
        <v>#DIV/0!</v>
      </c>
      <c r="K89" s="53"/>
      <c r="L89" s="53"/>
      <c r="M89" s="36">
        <v>0</v>
      </c>
      <c r="N89" s="36">
        <f>F89</f>
        <v>0</v>
      </c>
      <c r="O89" s="47">
        <f>#N/A</f>
        <v>0</v>
      </c>
      <c r="P89" s="53"/>
      <c r="Q89" s="53"/>
      <c r="R89" s="129"/>
    </row>
    <row r="90" spans="2:18" ht="30.7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>#N/A</f>
        <v>0.08</v>
      </c>
      <c r="H90" s="35"/>
      <c r="I90" s="53">
        <f>#N/A</f>
        <v>-2499.92</v>
      </c>
      <c r="J90" s="53">
        <f>#N/A</f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>#N/A</f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>#N/A</f>
        <v>58.141999999999996</v>
      </c>
      <c r="H91" s="35">
        <f>#N/A</f>
        <v>116.33303181657293</v>
      </c>
      <c r="I91" s="53">
        <f>#N/A</f>
        <v>-11161.88</v>
      </c>
      <c r="J91" s="53">
        <f>#N/A</f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>#N/A</f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0.7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>#N/A</f>
        <v>-149.7</v>
      </c>
      <c r="H92" s="35">
        <f>#N/A</f>
        <v>-1.0803511141120865</v>
      </c>
      <c r="I92" s="53">
        <f>#N/A</f>
        <v>-3001.6</v>
      </c>
      <c r="J92" s="53">
        <f>#N/A</f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>#N/A</f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3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>#N/A</f>
        <v>-91.47800000000001</v>
      </c>
      <c r="H93" s="65">
        <f>#N/A</f>
        <v>81.85241172993068</v>
      </c>
      <c r="I93" s="54">
        <f>#N/A</f>
        <v>-16663.4</v>
      </c>
      <c r="J93" s="54">
        <f>#N/A</f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>#N/A</f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6.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>#N/A</f>
        <v>0</v>
      </c>
      <c r="H94" s="35"/>
      <c r="I94" s="53">
        <f>#N/A</f>
        <v>-35</v>
      </c>
      <c r="J94" s="53">
        <f>#N/A</f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>#N/A</f>
        <v>0</v>
      </c>
      <c r="P94" s="53"/>
      <c r="Q94" s="53">
        <f>N94-0.16</f>
        <v>-0.16</v>
      </c>
      <c r="R94" s="129">
        <f>N94/0.16</f>
        <v>0</v>
      </c>
    </row>
    <row r="95" spans="2:18" ht="1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>#N/A</f>
        <v>0</v>
      </c>
      <c r="H95" s="35" t="e">
        <f>#N/A</f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>#N/A</f>
        <v>0</v>
      </c>
      <c r="P95" s="56"/>
      <c r="Q95" s="56"/>
      <c r="R95" s="131"/>
    </row>
    <row r="96" spans="2:18" ht="1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0.7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0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0.7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7.2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">
      <c r="B102" s="23" t="s">
        <v>117</v>
      </c>
      <c r="N102" s="29"/>
    </row>
    <row r="103" spans="2:4" ht="15">
      <c r="B103" s="4" t="s">
        <v>119</v>
      </c>
      <c r="C103" s="101">
        <v>0</v>
      </c>
      <c r="D103" s="4" t="s">
        <v>118</v>
      </c>
    </row>
    <row r="104" spans="2:17" ht="30.75">
      <c r="B104" s="71" t="s">
        <v>154</v>
      </c>
      <c r="C104" s="34">
        <f>IF(O82&lt;0,ABS(O82/C103),0)</f>
        <v>0</v>
      </c>
      <c r="D104" s="4" t="s">
        <v>104</v>
      </c>
      <c r="G104" s="266"/>
      <c r="H104" s="266"/>
      <c r="I104" s="266"/>
      <c r="J104" s="266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63"/>
      <c r="O105" s="263"/>
    </row>
    <row r="106" spans="3:15" ht="15">
      <c r="C106" s="111">
        <v>42061</v>
      </c>
      <c r="D106" s="34">
        <v>6003.3</v>
      </c>
      <c r="F106" s="155" t="s">
        <v>166</v>
      </c>
      <c r="G106" s="261"/>
      <c r="H106" s="261"/>
      <c r="I106" s="177"/>
      <c r="J106" s="265"/>
      <c r="K106" s="265"/>
      <c r="L106" s="265"/>
      <c r="M106" s="265"/>
      <c r="N106" s="263"/>
      <c r="O106" s="263"/>
    </row>
    <row r="107" spans="3:15" ht="15.75" customHeight="1">
      <c r="C107" s="111">
        <v>42060</v>
      </c>
      <c r="D107" s="34">
        <v>1551.3</v>
      </c>
      <c r="G107" s="277" t="s">
        <v>151</v>
      </c>
      <c r="H107" s="277"/>
      <c r="I107" s="106">
        <v>8909.73221</v>
      </c>
      <c r="J107" s="262"/>
      <c r="K107" s="262"/>
      <c r="L107" s="262"/>
      <c r="M107" s="262"/>
      <c r="N107" s="263"/>
      <c r="O107" s="263"/>
    </row>
    <row r="108" spans="7:13" ht="15.75" customHeight="1">
      <c r="G108" s="285" t="s">
        <v>155</v>
      </c>
      <c r="H108" s="285"/>
      <c r="I108" s="103">
        <v>0</v>
      </c>
      <c r="J108" s="265"/>
      <c r="K108" s="265"/>
      <c r="L108" s="265"/>
      <c r="M108" s="265"/>
    </row>
    <row r="109" spans="2:13" ht="18.75" customHeight="1">
      <c r="B109" s="270" t="s">
        <v>160</v>
      </c>
      <c r="C109" s="271"/>
      <c r="D109" s="108">
        <f>138305956.27/1000</f>
        <v>138305.95627000002</v>
      </c>
      <c r="E109" s="73"/>
      <c r="F109" s="156" t="s">
        <v>147</v>
      </c>
      <c r="G109" s="277" t="s">
        <v>149</v>
      </c>
      <c r="H109" s="277"/>
      <c r="I109" s="107">
        <v>129396.23</v>
      </c>
      <c r="J109" s="265"/>
      <c r="K109" s="265"/>
      <c r="L109" s="265"/>
      <c r="M109" s="265"/>
    </row>
    <row r="110" spans="7:12" ht="9.75" customHeight="1">
      <c r="G110" s="261"/>
      <c r="H110" s="261"/>
      <c r="I110" s="90"/>
      <c r="J110" s="91"/>
      <c r="K110" s="91"/>
      <c r="L110" s="91"/>
    </row>
    <row r="111" spans="2:12" ht="22.5" customHeight="1" hidden="1">
      <c r="B111" s="267" t="s">
        <v>167</v>
      </c>
      <c r="C111" s="268"/>
      <c r="D111" s="110">
        <v>0</v>
      </c>
      <c r="E111" s="70" t="s">
        <v>104</v>
      </c>
      <c r="G111" s="261"/>
      <c r="H111" s="261"/>
      <c r="I111" s="90"/>
      <c r="J111" s="91"/>
      <c r="K111" s="91"/>
      <c r="L111" s="91"/>
    </row>
    <row r="112" spans="4:15" ht="15">
      <c r="D112" s="105"/>
      <c r="N112" s="261"/>
      <c r="O112" s="261"/>
    </row>
    <row r="113" spans="4:15" ht="15">
      <c r="D113" s="104"/>
      <c r="I113" s="34"/>
      <c r="N113" s="269"/>
      <c r="O113" s="269"/>
    </row>
    <row r="114" spans="14:15" ht="15">
      <c r="N114" s="261"/>
      <c r="O114" s="261"/>
    </row>
  </sheetData>
  <sheetProtection/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F3:J3"/>
    <mergeCell ref="M3:M5"/>
    <mergeCell ref="N3:R3"/>
    <mergeCell ref="E4:E5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zoomScalePageLayoutView="0" workbookViewId="0" topLeftCell="B1">
      <pane xSplit="2" ySplit="9" topLeftCell="D77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1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50390625" style="4" customWidth="1"/>
    <col min="9" max="9" width="12.75390625" style="4" customWidth="1"/>
    <col min="10" max="10" width="9.5039062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7" t="s">
        <v>193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117"/>
      <c r="R1" s="118"/>
    </row>
    <row r="2" spans="2:18" s="1" customFormat="1" ht="15.75" customHeight="1">
      <c r="B2" s="248"/>
      <c r="C2" s="248"/>
      <c r="D2" s="24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49"/>
      <c r="B3" s="276" t="s">
        <v>205</v>
      </c>
      <c r="C3" s="252" t="s">
        <v>0</v>
      </c>
      <c r="D3" s="274" t="s">
        <v>216</v>
      </c>
      <c r="E3" s="40"/>
      <c r="F3" s="253" t="s">
        <v>107</v>
      </c>
      <c r="G3" s="254"/>
      <c r="H3" s="254"/>
      <c r="I3" s="254"/>
      <c r="J3" s="275"/>
      <c r="K3" s="114"/>
      <c r="L3" s="114"/>
      <c r="M3" s="255" t="s">
        <v>220</v>
      </c>
      <c r="N3" s="236" t="s">
        <v>175</v>
      </c>
      <c r="O3" s="236"/>
      <c r="P3" s="236"/>
      <c r="Q3" s="236"/>
      <c r="R3" s="236"/>
    </row>
    <row r="4" spans="1:18" ht="22.5" customHeight="1">
      <c r="A4" s="249"/>
      <c r="B4" s="276"/>
      <c r="C4" s="252"/>
      <c r="D4" s="274"/>
      <c r="E4" s="237" t="s">
        <v>219</v>
      </c>
      <c r="F4" s="239" t="s">
        <v>116</v>
      </c>
      <c r="G4" s="272" t="s">
        <v>173</v>
      </c>
      <c r="H4" s="286" t="s">
        <v>174</v>
      </c>
      <c r="I4" s="288" t="s">
        <v>217</v>
      </c>
      <c r="J4" s="290" t="s">
        <v>218</v>
      </c>
      <c r="K4" s="116" t="s">
        <v>172</v>
      </c>
      <c r="L4" s="121" t="s">
        <v>171</v>
      </c>
      <c r="M4" s="256"/>
      <c r="N4" s="258" t="s">
        <v>194</v>
      </c>
      <c r="O4" s="288" t="s">
        <v>136</v>
      </c>
      <c r="P4" s="236" t="s">
        <v>135</v>
      </c>
      <c r="Q4" s="122" t="s">
        <v>172</v>
      </c>
      <c r="R4" s="123" t="s">
        <v>171</v>
      </c>
    </row>
    <row r="5" spans="1:19" ht="92.25" customHeight="1">
      <c r="A5" s="250"/>
      <c r="B5" s="276"/>
      <c r="C5" s="252"/>
      <c r="D5" s="274"/>
      <c r="E5" s="238"/>
      <c r="F5" s="240"/>
      <c r="G5" s="273"/>
      <c r="H5" s="287"/>
      <c r="I5" s="289"/>
      <c r="J5" s="291"/>
      <c r="K5" s="245" t="s">
        <v>188</v>
      </c>
      <c r="L5" s="246"/>
      <c r="M5" s="257"/>
      <c r="N5" s="259"/>
      <c r="O5" s="289"/>
      <c r="P5" s="236"/>
      <c r="Q5" s="245" t="s">
        <v>176</v>
      </c>
      <c r="R5" s="24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7.2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>#N/A</f>
        <v>2662.4159999999974</v>
      </c>
      <c r="H8" s="45">
        <f>F8/E8*100</f>
        <v>107.59563960869454</v>
      </c>
      <c r="I8" s="31">
        <f>#N/A</f>
        <v>-479714.684</v>
      </c>
      <c r="J8" s="31">
        <f>#N/A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>#N/A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0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>#N/A</f>
        <v>23209.376000000004</v>
      </c>
      <c r="H9" s="16"/>
      <c r="I9" s="50">
        <f>#N/A</f>
        <v>-289480.624</v>
      </c>
      <c r="J9" s="50">
        <f>#N/A</f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>#N/A</f>
        <v>2203.9760000000024</v>
      </c>
      <c r="P9" s="50">
        <f>F9/M9*100</f>
        <v>110.49242575718625</v>
      </c>
      <c r="Q9" s="50"/>
      <c r="R9" s="126"/>
    </row>
    <row r="10" spans="1:19" s="6" customFormat="1" ht="1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>#N/A</f>
        <v>2203.9760000000024</v>
      </c>
      <c r="H10" s="35">
        <f>#N/A</f>
        <v>110.49242575718625</v>
      </c>
      <c r="I10" s="50">
        <f>#N/A</f>
        <v>-289480.624</v>
      </c>
      <c r="J10" s="50">
        <f>#N/A</f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>#N/A</f>
        <v>2203.9760000000024</v>
      </c>
      <c r="P10" s="50">
        <f>#N/A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>#N/A</f>
        <v>0</v>
      </c>
      <c r="H11" s="35" t="e">
        <f>#N/A</f>
        <v>#DIV/0!</v>
      </c>
      <c r="I11" s="50">
        <f>#N/A</f>
        <v>0</v>
      </c>
      <c r="J11" s="50" t="e">
        <f>#N/A</f>
        <v>#DIV/0!</v>
      </c>
      <c r="K11" s="50"/>
      <c r="L11" s="50"/>
      <c r="M11" s="35">
        <f>E11-'січень '!M11</f>
        <v>0</v>
      </c>
      <c r="N11" s="35">
        <f>#N/A</f>
        <v>0</v>
      </c>
      <c r="O11" s="47">
        <f>#N/A</f>
        <v>0</v>
      </c>
      <c r="P11" s="50" t="e">
        <f>#N/A</f>
        <v>#DIV/0!</v>
      </c>
      <c r="Q11" s="50"/>
      <c r="R11" s="126"/>
    </row>
    <row r="12" spans="1:18" s="6" customFormat="1" ht="30.7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>#N/A</f>
        <v>0</v>
      </c>
      <c r="H12" s="35" t="e">
        <f>#N/A</f>
        <v>#DIV/0!</v>
      </c>
      <c r="I12" s="50">
        <f>#N/A</f>
        <v>0</v>
      </c>
      <c r="J12" s="50" t="e">
        <f>#N/A</f>
        <v>#DIV/0!</v>
      </c>
      <c r="K12" s="50"/>
      <c r="L12" s="50"/>
      <c r="M12" s="35">
        <f>E12-'січень '!M12</f>
        <v>0</v>
      </c>
      <c r="N12" s="35">
        <f>#N/A</f>
        <v>0</v>
      </c>
      <c r="O12" s="47">
        <f>#N/A</f>
        <v>0</v>
      </c>
      <c r="P12" s="50" t="e">
        <f>#N/A</f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>#N/A</f>
        <v>0</v>
      </c>
      <c r="H13" s="35" t="e">
        <f>#N/A</f>
        <v>#DIV/0!</v>
      </c>
      <c r="I13" s="50">
        <f>#N/A</f>
        <v>0</v>
      </c>
      <c r="J13" s="50" t="e">
        <f>#N/A</f>
        <v>#DIV/0!</v>
      </c>
      <c r="K13" s="50"/>
      <c r="L13" s="50"/>
      <c r="M13" s="35">
        <f>E13-'січень '!M13</f>
        <v>0</v>
      </c>
      <c r="N13" s="35">
        <f>#N/A</f>
        <v>0</v>
      </c>
      <c r="O13" s="47">
        <f>#N/A</f>
        <v>0</v>
      </c>
      <c r="P13" s="50" t="e">
        <f>#N/A</f>
        <v>#DIV/0!</v>
      </c>
      <c r="Q13" s="50"/>
      <c r="R13" s="126"/>
    </row>
    <row r="14" spans="1:18" s="6" customFormat="1" ht="30.7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>#N/A</f>
        <v>0</v>
      </c>
      <c r="H14" s="35" t="e">
        <f>#N/A</f>
        <v>#DIV/0!</v>
      </c>
      <c r="I14" s="50">
        <f>#N/A</f>
        <v>0</v>
      </c>
      <c r="J14" s="50" t="e">
        <f>#N/A</f>
        <v>#DIV/0!</v>
      </c>
      <c r="K14" s="50"/>
      <c r="L14" s="50"/>
      <c r="M14" s="35">
        <f>E14-'січень '!M14</f>
        <v>0</v>
      </c>
      <c r="N14" s="35">
        <f>#N/A</f>
        <v>0</v>
      </c>
      <c r="O14" s="47">
        <f>#N/A</f>
        <v>0</v>
      </c>
      <c r="P14" s="50" t="e">
        <f>#N/A</f>
        <v>#DIV/0!</v>
      </c>
      <c r="Q14" s="50"/>
      <c r="R14" s="126"/>
    </row>
    <row r="15" spans="1:18" s="6" customFormat="1" ht="30.7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>#N/A</f>
        <v>0</v>
      </c>
      <c r="H15" s="35" t="e">
        <f>#N/A</f>
        <v>#DIV/0!</v>
      </c>
      <c r="I15" s="50">
        <f>#N/A</f>
        <v>0</v>
      </c>
      <c r="J15" s="50"/>
      <c r="K15" s="50"/>
      <c r="L15" s="50"/>
      <c r="M15" s="35">
        <f>E15-'січень '!M15</f>
        <v>0</v>
      </c>
      <c r="N15" s="35">
        <f>#N/A</f>
        <v>0</v>
      </c>
      <c r="O15" s="47">
        <f>#N/A</f>
        <v>0</v>
      </c>
      <c r="P15" s="50" t="e">
        <f>#N/A</f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>#N/A</f>
        <v>0</v>
      </c>
      <c r="H16" s="35" t="e">
        <f>#N/A</f>
        <v>#DIV/0!</v>
      </c>
      <c r="I16" s="50">
        <f>#N/A</f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>#N/A</f>
        <v>0</v>
      </c>
      <c r="O16" s="47">
        <f>#N/A</f>
        <v>0</v>
      </c>
      <c r="P16" s="50" t="e">
        <f>#N/A</f>
        <v>#DIV/0!</v>
      </c>
      <c r="Q16" s="50"/>
      <c r="R16" s="126"/>
    </row>
    <row r="17" spans="1:18" s="6" customFormat="1" ht="1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>#N/A</f>
        <v>0</v>
      </c>
      <c r="H17" s="35" t="e">
        <f>#N/A</f>
        <v>#DIV/0!</v>
      </c>
      <c r="I17" s="50">
        <f>#N/A</f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>#N/A</f>
        <v>0</v>
      </c>
      <c r="O17" s="47">
        <f>#N/A</f>
        <v>0</v>
      </c>
      <c r="P17" s="50" t="e">
        <f>#N/A</f>
        <v>#DIV/0!</v>
      </c>
      <c r="Q17" s="50"/>
      <c r="R17" s="126"/>
    </row>
    <row r="18" spans="1:18" s="6" customFormat="1" ht="1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>#N/A</f>
        <v>0</v>
      </c>
      <c r="H18" s="35" t="e">
        <f>#N/A</f>
        <v>#DIV/0!</v>
      </c>
      <c r="I18" s="50">
        <f>#N/A</f>
        <v>0</v>
      </c>
      <c r="J18" s="50"/>
      <c r="K18" s="50"/>
      <c r="L18" s="50"/>
      <c r="M18" s="35">
        <f>E18-'січень '!M18</f>
        <v>0</v>
      </c>
      <c r="N18" s="35">
        <f>#N/A</f>
        <v>0</v>
      </c>
      <c r="O18" s="47">
        <f>#N/A</f>
        <v>0</v>
      </c>
      <c r="P18" s="50" t="e">
        <f>#N/A</f>
        <v>#DIV/0!</v>
      </c>
      <c r="Q18" s="50"/>
      <c r="R18" s="126"/>
    </row>
    <row r="19" spans="1:18" s="6" customFormat="1" ht="30.7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>#N/A</f>
        <v>-566.34</v>
      </c>
      <c r="H19" s="35"/>
      <c r="I19" s="50">
        <f>#N/A</f>
        <v>-1066.3400000000001</v>
      </c>
      <c r="J19" s="50">
        <f>#N/A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>#N/A</f>
        <v>-566.34</v>
      </c>
      <c r="O19" s="47">
        <f>#N/A</f>
        <v>-566.34</v>
      </c>
      <c r="P19" s="50" t="e">
        <f>#N/A</f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0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>#N/A</f>
        <v>0</v>
      </c>
      <c r="H20" s="35"/>
      <c r="I20" s="50">
        <f>#N/A</f>
        <v>0</v>
      </c>
      <c r="J20" s="50" t="e">
        <f>#N/A</f>
        <v>#DIV/0!</v>
      </c>
      <c r="K20" s="50">
        <f>#N/A</f>
        <v>-194.7</v>
      </c>
      <c r="L20" s="50">
        <f>#N/A</f>
        <v>0</v>
      </c>
      <c r="M20" s="35">
        <f>E20-'січень '!M20</f>
        <v>0</v>
      </c>
      <c r="N20" s="35">
        <f>#N/A</f>
        <v>0</v>
      </c>
      <c r="O20" s="47">
        <f>#N/A</f>
        <v>0</v>
      </c>
      <c r="P20" s="50" t="e">
        <f>#N/A</f>
        <v>#DIV/0!</v>
      </c>
      <c r="Q20" s="50">
        <f>#N/A</f>
        <v>-194.7</v>
      </c>
      <c r="R20" s="126">
        <f>#N/A</f>
        <v>0</v>
      </c>
    </row>
    <row r="21" spans="1:18" s="6" customFormat="1" ht="30.7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>#N/A</f>
        <v>0</v>
      </c>
      <c r="H21" s="35"/>
      <c r="I21" s="50">
        <f>#N/A</f>
        <v>0</v>
      </c>
      <c r="J21" s="50" t="e">
        <f>#N/A</f>
        <v>#DIV/0!</v>
      </c>
      <c r="K21" s="50">
        <f>#N/A</f>
        <v>-194.7</v>
      </c>
      <c r="L21" s="50">
        <f>#N/A</f>
        <v>0</v>
      </c>
      <c r="M21" s="35">
        <f>E21-'січень '!M21</f>
        <v>0</v>
      </c>
      <c r="N21" s="35">
        <f>#N/A</f>
        <v>0</v>
      </c>
      <c r="O21" s="47">
        <f>#N/A</f>
        <v>0</v>
      </c>
      <c r="P21" s="50" t="e">
        <f>#N/A</f>
        <v>#DIV/0!</v>
      </c>
      <c r="Q21" s="50">
        <f>#N/A</f>
        <v>-194.7</v>
      </c>
      <c r="R21" s="126">
        <f>#N/A</f>
        <v>0</v>
      </c>
    </row>
    <row r="22" spans="1:18" s="6" customFormat="1" ht="46.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>#N/A</f>
        <v>0</v>
      </c>
      <c r="H22" s="35"/>
      <c r="I22" s="50">
        <f>#N/A</f>
        <v>0</v>
      </c>
      <c r="J22" s="50" t="e">
        <f>#N/A</f>
        <v>#DIV/0!</v>
      </c>
      <c r="K22" s="50">
        <f>#N/A</f>
        <v>-194.7</v>
      </c>
      <c r="L22" s="50">
        <f>#N/A</f>
        <v>0</v>
      </c>
      <c r="M22" s="35">
        <f>E22-'січень '!M22</f>
        <v>0</v>
      </c>
      <c r="N22" s="35">
        <f>#N/A</f>
        <v>0</v>
      </c>
      <c r="O22" s="47">
        <f>#N/A</f>
        <v>0</v>
      </c>
      <c r="P22" s="50" t="e">
        <f>#N/A</f>
        <v>#DIV/0!</v>
      </c>
      <c r="Q22" s="50">
        <f>#N/A</f>
        <v>-194.7</v>
      </c>
      <c r="R22" s="126">
        <f>#N/A</f>
        <v>0</v>
      </c>
    </row>
    <row r="23" spans="1:18" s="6" customFormat="1" ht="61.5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>#N/A</f>
        <v>0</v>
      </c>
      <c r="H23" s="35"/>
      <c r="I23" s="50">
        <f>#N/A</f>
        <v>0</v>
      </c>
      <c r="J23" s="50" t="e">
        <f>#N/A</f>
        <v>#DIV/0!</v>
      </c>
      <c r="K23" s="50">
        <f>#N/A</f>
        <v>-194.7</v>
      </c>
      <c r="L23" s="50">
        <f>#N/A</f>
        <v>0</v>
      </c>
      <c r="M23" s="35">
        <f>E23-'січень '!M23</f>
        <v>0</v>
      </c>
      <c r="N23" s="35">
        <f>#N/A</f>
        <v>0</v>
      </c>
      <c r="O23" s="47">
        <f>#N/A</f>
        <v>0</v>
      </c>
      <c r="P23" s="50" t="e">
        <f>#N/A</f>
        <v>#DIV/0!</v>
      </c>
      <c r="Q23" s="50">
        <f>#N/A</f>
        <v>-194.7</v>
      </c>
      <c r="R23" s="126">
        <f>#N/A</f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>#N/A</f>
        <v>0</v>
      </c>
      <c r="H24" s="35"/>
      <c r="I24" s="50">
        <f>#N/A</f>
        <v>0</v>
      </c>
      <c r="J24" s="50" t="e">
        <f>#N/A</f>
        <v>#DIV/0!</v>
      </c>
      <c r="K24" s="50">
        <f>#N/A</f>
        <v>-194.7</v>
      </c>
      <c r="L24" s="50">
        <f>#N/A</f>
        <v>0</v>
      </c>
      <c r="M24" s="35">
        <f>E24-'січень '!M24</f>
        <v>0</v>
      </c>
      <c r="N24" s="35">
        <f>#N/A</f>
        <v>0</v>
      </c>
      <c r="O24" s="47">
        <f>#N/A</f>
        <v>0</v>
      </c>
      <c r="P24" s="50" t="e">
        <f>#N/A</f>
        <v>#DIV/0!</v>
      </c>
      <c r="Q24" s="50">
        <f>#N/A</f>
        <v>-194.7</v>
      </c>
      <c r="R24" s="126">
        <f>#N/A</f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>#N/A</f>
        <v>0</v>
      </c>
      <c r="H25" s="35"/>
      <c r="I25" s="50">
        <f>#N/A</f>
        <v>0</v>
      </c>
      <c r="J25" s="50" t="e">
        <f>#N/A</f>
        <v>#DIV/0!</v>
      </c>
      <c r="K25" s="50">
        <f>#N/A</f>
        <v>-194.7</v>
      </c>
      <c r="L25" s="50">
        <f>#N/A</f>
        <v>0</v>
      </c>
      <c r="M25" s="35">
        <f>E25-'січень '!M25</f>
        <v>0</v>
      </c>
      <c r="N25" s="35">
        <f>#N/A</f>
        <v>0</v>
      </c>
      <c r="O25" s="47">
        <f>#N/A</f>
        <v>0</v>
      </c>
      <c r="P25" s="50" t="e">
        <f>#N/A</f>
        <v>#DIV/0!</v>
      </c>
      <c r="Q25" s="50">
        <f>#N/A</f>
        <v>-194.7</v>
      </c>
      <c r="R25" s="126">
        <f>#N/A</f>
        <v>0</v>
      </c>
    </row>
    <row r="26" spans="1:18" s="6" customFormat="1" ht="46.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>#N/A</f>
        <v>0</v>
      </c>
      <c r="H26" s="35"/>
      <c r="I26" s="50">
        <f>#N/A</f>
        <v>0</v>
      </c>
      <c r="J26" s="50" t="e">
        <f>#N/A</f>
        <v>#DIV/0!</v>
      </c>
      <c r="K26" s="50">
        <f>#N/A</f>
        <v>-194.7</v>
      </c>
      <c r="L26" s="50">
        <f>#N/A</f>
        <v>0</v>
      </c>
      <c r="M26" s="35">
        <f>E26-'січень '!M26</f>
        <v>0</v>
      </c>
      <c r="N26" s="35">
        <f>#N/A</f>
        <v>0</v>
      </c>
      <c r="O26" s="47">
        <f>#N/A</f>
        <v>0</v>
      </c>
      <c r="P26" s="50" t="e">
        <f>#N/A</f>
        <v>#DIV/0!</v>
      </c>
      <c r="Q26" s="50">
        <f>#N/A</f>
        <v>-194.7</v>
      </c>
      <c r="R26" s="126">
        <f>#N/A</f>
        <v>0</v>
      </c>
    </row>
    <row r="27" spans="1:18" s="6" customFormat="1" ht="61.5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>#N/A</f>
        <v>0</v>
      </c>
      <c r="H27" s="35"/>
      <c r="I27" s="50">
        <f>#N/A</f>
        <v>0</v>
      </c>
      <c r="J27" s="50" t="e">
        <f>#N/A</f>
        <v>#DIV/0!</v>
      </c>
      <c r="K27" s="50">
        <f>#N/A</f>
        <v>-194.7</v>
      </c>
      <c r="L27" s="50">
        <f>#N/A</f>
        <v>0</v>
      </c>
      <c r="M27" s="35">
        <f>E27-'січень '!M27</f>
        <v>0</v>
      </c>
      <c r="N27" s="35">
        <f>#N/A</f>
        <v>0</v>
      </c>
      <c r="O27" s="47">
        <f>#N/A</f>
        <v>0</v>
      </c>
      <c r="P27" s="50" t="e">
        <f>#N/A</f>
        <v>#DIV/0!</v>
      </c>
      <c r="Q27" s="50">
        <f>#N/A</f>
        <v>-194.7</v>
      </c>
      <c r="R27" s="126">
        <f>#N/A</f>
        <v>0</v>
      </c>
    </row>
    <row r="28" spans="1:18" s="6" customFormat="1" ht="1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>#N/A</f>
        <v>0</v>
      </c>
      <c r="H28" s="35"/>
      <c r="I28" s="50">
        <f>#N/A</f>
        <v>0</v>
      </c>
      <c r="J28" s="50" t="e">
        <f>#N/A</f>
        <v>#DIV/0!</v>
      </c>
      <c r="K28" s="50">
        <f>#N/A</f>
        <v>-194.7</v>
      </c>
      <c r="L28" s="50">
        <f>#N/A</f>
        <v>0</v>
      </c>
      <c r="M28" s="35">
        <f>E28-'січень '!M28</f>
        <v>0</v>
      </c>
      <c r="N28" s="35">
        <f>#N/A</f>
        <v>0</v>
      </c>
      <c r="O28" s="47">
        <f>#N/A</f>
        <v>0</v>
      </c>
      <c r="P28" s="50" t="e">
        <f>#N/A</f>
        <v>#DIV/0!</v>
      </c>
      <c r="Q28" s="50">
        <f>#N/A</f>
        <v>-194.7</v>
      </c>
      <c r="R28" s="126">
        <f>#N/A</f>
        <v>0</v>
      </c>
    </row>
    <row r="29" spans="1:18" s="6" customFormat="1" ht="1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>#N/A</f>
        <v>-438.35</v>
      </c>
      <c r="H29" s="35"/>
      <c r="I29" s="50">
        <f>#N/A</f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>#N/A</f>
        <v>-438.35</v>
      </c>
      <c r="O29" s="138">
        <f>#N/A</f>
        <v>-438.35</v>
      </c>
      <c r="P29" s="50" t="e">
        <f>#N/A</f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0.7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>#N/A</f>
        <v>0.12</v>
      </c>
      <c r="H30" s="35" t="e">
        <f>#N/A</f>
        <v>#DIV/0!</v>
      </c>
      <c r="I30" s="50">
        <f>#N/A</f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>#N/A</f>
        <v>0.12</v>
      </c>
      <c r="O30" s="47">
        <f>#N/A</f>
        <v>0.12</v>
      </c>
      <c r="P30" s="50" t="e">
        <f>#N/A</f>
        <v>#DIV/0!</v>
      </c>
      <c r="Q30" s="50"/>
      <c r="R30" s="126"/>
    </row>
    <row r="31" spans="1:18" s="6" customFormat="1" ht="46.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>#N/A</f>
        <v>0</v>
      </c>
      <c r="H31" s="35" t="e">
        <f>#N/A</f>
        <v>#DIV/0!</v>
      </c>
      <c r="I31" s="50">
        <f>#N/A</f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>#N/A</f>
        <v>0</v>
      </c>
      <c r="O31" s="47">
        <f>#N/A</f>
        <v>0</v>
      </c>
      <c r="P31" s="50" t="e">
        <f>#N/A</f>
        <v>#DIV/0!</v>
      </c>
      <c r="Q31" s="50"/>
      <c r="R31" s="126"/>
    </row>
    <row r="32" spans="1:18" s="6" customFormat="1" ht="30.7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>#N/A</f>
        <v>0</v>
      </c>
      <c r="H32" s="35" t="e">
        <f>#N/A</f>
        <v>#DIV/0!</v>
      </c>
      <c r="I32" s="50">
        <f>#N/A</f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>#N/A</f>
        <v>0</v>
      </c>
      <c r="O32" s="47">
        <f>#N/A</f>
        <v>0</v>
      </c>
      <c r="P32" s="50" t="e">
        <f>#N/A</f>
        <v>#DIV/0!</v>
      </c>
      <c r="Q32" s="50"/>
      <c r="R32" s="126"/>
    </row>
    <row r="33" spans="1:18" s="6" customFormat="1" ht="46.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>#N/A</f>
        <v>0</v>
      </c>
      <c r="H33" s="35" t="e">
        <f>#N/A</f>
        <v>#DIV/0!</v>
      </c>
      <c r="I33" s="50">
        <f>#N/A</f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>#N/A</f>
        <v>0</v>
      </c>
      <c r="O33" s="47">
        <f>#N/A</f>
        <v>0</v>
      </c>
      <c r="P33" s="50" t="e">
        <f>#N/A</f>
        <v>#DIV/0!</v>
      </c>
      <c r="Q33" s="139"/>
      <c r="R33" s="140"/>
    </row>
    <row r="34" spans="1:18" s="6" customFormat="1" ht="1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>#N/A</f>
        <v>1025.7699999999986</v>
      </c>
      <c r="H34" s="35">
        <f>#N/A</f>
        <v>107.30787589498804</v>
      </c>
      <c r="I34" s="50">
        <f>#N/A</f>
        <v>-151707.73</v>
      </c>
      <c r="J34" s="136"/>
      <c r="K34" s="136"/>
      <c r="L34" s="136"/>
      <c r="M34" s="35">
        <f>E34</f>
        <v>14036.5</v>
      </c>
      <c r="N34" s="35">
        <f>#N/A</f>
        <v>15062.269999999999</v>
      </c>
      <c r="O34" s="47">
        <f>#N/A</f>
        <v>1025.7699999999986</v>
      </c>
      <c r="P34" s="50">
        <f>#N/A</f>
        <v>107.30787589498804</v>
      </c>
      <c r="Q34" s="139"/>
      <c r="R34" s="140"/>
    </row>
    <row r="35" spans="1:18" s="6" customFormat="1" ht="1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>#N/A</f>
        <v>48.18000000000029</v>
      </c>
      <c r="H35" s="35">
        <f>#N/A</f>
        <v>100.73731731578546</v>
      </c>
      <c r="I35" s="50">
        <f>#N/A</f>
        <v>-91617.32</v>
      </c>
      <c r="J35" s="136"/>
      <c r="K35" s="136"/>
      <c r="L35" s="136"/>
      <c r="M35" s="35">
        <f>#N/A</f>
        <v>6534.5</v>
      </c>
      <c r="N35" s="35">
        <f>#N/A</f>
        <v>6582.68</v>
      </c>
      <c r="O35" s="47">
        <f>#N/A</f>
        <v>48.18000000000029</v>
      </c>
      <c r="P35" s="50">
        <f>#N/A</f>
        <v>100.73731731578546</v>
      </c>
      <c r="Q35" s="139"/>
      <c r="R35" s="140"/>
    </row>
    <row r="36" spans="1:18" s="6" customFormat="1" ht="1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>#N/A</f>
        <v>0.1700000000000017</v>
      </c>
      <c r="H36" s="35">
        <f>#N/A</f>
        <v>100.20118343195266</v>
      </c>
      <c r="I36" s="50">
        <f>#N/A</f>
        <v>-915.33</v>
      </c>
      <c r="J36" s="136"/>
      <c r="K36" s="136"/>
      <c r="L36" s="136"/>
      <c r="M36" s="137">
        <f>#N/A</f>
        <v>84.5</v>
      </c>
      <c r="N36" s="137">
        <f>#N/A</f>
        <v>84.67</v>
      </c>
      <c r="O36" s="47">
        <f>#N/A</f>
        <v>0.1700000000000017</v>
      </c>
      <c r="P36" s="50">
        <f>#N/A</f>
        <v>100.20118343195266</v>
      </c>
      <c r="Q36" s="139"/>
      <c r="R36" s="140"/>
    </row>
    <row r="37" spans="1:18" s="6" customFormat="1" ht="1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>#N/A</f>
        <v>0</v>
      </c>
      <c r="H37" s="35"/>
      <c r="I37" s="50">
        <f>#N/A</f>
        <v>-1500</v>
      </c>
      <c r="J37" s="136"/>
      <c r="K37" s="136"/>
      <c r="L37" s="136"/>
      <c r="M37" s="137">
        <f>#N/A</f>
        <v>0</v>
      </c>
      <c r="N37" s="137">
        <f>#N/A</f>
        <v>0</v>
      </c>
      <c r="O37" s="47">
        <f>#N/A</f>
        <v>0</v>
      </c>
      <c r="P37" s="50" t="e">
        <f>#N/A</f>
        <v>#DIV/0!</v>
      </c>
      <c r="Q37" s="139"/>
      <c r="R37" s="140"/>
    </row>
    <row r="38" spans="1:18" s="6" customFormat="1" ht="1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>#N/A</f>
        <v>48.01000000000022</v>
      </c>
      <c r="H38" s="35">
        <f>#N/A</f>
        <v>100.74434108527133</v>
      </c>
      <c r="I38" s="50">
        <f>#N/A</f>
        <v>-89201.99</v>
      </c>
      <c r="J38" s="136"/>
      <c r="K38" s="136"/>
      <c r="L38" s="136"/>
      <c r="M38" s="137">
        <f>#N/A</f>
        <v>6450</v>
      </c>
      <c r="N38" s="137">
        <f>#N/A</f>
        <v>6498.01</v>
      </c>
      <c r="O38" s="47">
        <f>#N/A</f>
        <v>48.01000000000022</v>
      </c>
      <c r="P38" s="50">
        <f>#N/A</f>
        <v>100.74434108527133</v>
      </c>
      <c r="Q38" s="139"/>
      <c r="R38" s="140"/>
    </row>
    <row r="39" spans="1:18" s="6" customFormat="1" ht="1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>#N/A</f>
        <v>0.3999999999999999</v>
      </c>
      <c r="H39" s="35">
        <f>#N/A</f>
        <v>120</v>
      </c>
      <c r="I39" s="50">
        <f>#N/A</f>
        <v>-67.6</v>
      </c>
      <c r="J39" s="136"/>
      <c r="K39" s="136"/>
      <c r="L39" s="136"/>
      <c r="M39" s="35">
        <f>#N/A</f>
        <v>2</v>
      </c>
      <c r="N39" s="35">
        <f>#N/A</f>
        <v>2.4</v>
      </c>
      <c r="O39" s="47">
        <f>#N/A</f>
        <v>0.3999999999999999</v>
      </c>
      <c r="P39" s="50">
        <f>#N/A</f>
        <v>120</v>
      </c>
      <c r="Q39" s="139"/>
      <c r="R39" s="140"/>
    </row>
    <row r="40" spans="1:18" s="6" customFormat="1" ht="30.7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>#N/A</f>
        <v>142.71</v>
      </c>
      <c r="H40" s="35"/>
      <c r="I40" s="50">
        <f>#N/A</f>
        <v>142.71</v>
      </c>
      <c r="J40" s="136"/>
      <c r="K40" s="136"/>
      <c r="L40" s="136"/>
      <c r="M40" s="35">
        <f>#N/A</f>
        <v>0</v>
      </c>
      <c r="N40" s="35">
        <f>#N/A</f>
        <v>142.71</v>
      </c>
      <c r="O40" s="47">
        <f>#N/A</f>
        <v>142.71</v>
      </c>
      <c r="P40" s="50" t="e">
        <f>#N/A</f>
        <v>#DIV/0!</v>
      </c>
      <c r="Q40" s="139"/>
      <c r="R40" s="140"/>
    </row>
    <row r="41" spans="1:18" s="6" customFormat="1" ht="1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>#N/A</f>
        <v>834.4799999999996</v>
      </c>
      <c r="H41" s="35">
        <f>#N/A</f>
        <v>111.1264</v>
      </c>
      <c r="I41" s="50">
        <f>#N/A</f>
        <v>-60165.520000000004</v>
      </c>
      <c r="J41" s="136"/>
      <c r="K41" s="136"/>
      <c r="L41" s="136"/>
      <c r="M41" s="35">
        <f>#N/A</f>
        <v>7500</v>
      </c>
      <c r="N41" s="35">
        <f>#N/A</f>
        <v>8334.48</v>
      </c>
      <c r="O41" s="47">
        <f>#N/A</f>
        <v>834.4799999999996</v>
      </c>
      <c r="P41" s="50">
        <f>#N/A</f>
        <v>111.1264</v>
      </c>
      <c r="Q41" s="139"/>
      <c r="R41" s="140"/>
    </row>
    <row r="42" spans="1:18" s="6" customFormat="1" ht="1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>#N/A</f>
        <v>-1.1099999999999994</v>
      </c>
      <c r="H42" s="35">
        <f>#N/A</f>
        <v>88.9</v>
      </c>
      <c r="I42" s="50">
        <f>#N/A</f>
        <v>-7491.11</v>
      </c>
      <c r="J42" s="136"/>
      <c r="K42" s="136"/>
      <c r="L42" s="136"/>
      <c r="M42" s="35">
        <f>#N/A</f>
        <v>10</v>
      </c>
      <c r="N42" s="35">
        <f>#N/A</f>
        <v>8.89</v>
      </c>
      <c r="O42" s="47">
        <f>#N/A</f>
        <v>-1.1099999999999994</v>
      </c>
      <c r="P42" s="50">
        <f>#N/A</f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#N/A</f>
        <v>0</v>
      </c>
      <c r="H43" s="35" t="e">
        <f>F43/E43*100</f>
        <v>#DIV/0!</v>
      </c>
      <c r="I43" s="50">
        <f>#N/A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>#N/A</f>
        <v>#REF!</v>
      </c>
      <c r="P43" s="50" t="e">
        <f>#N/A</f>
        <v>#REF!</v>
      </c>
      <c r="Q43" s="50"/>
      <c r="R43" s="126"/>
    </row>
    <row r="44" spans="1:18" s="6" customFormat="1" ht="30.7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#N/A</f>
        <v>0</v>
      </c>
      <c r="H44" s="35" t="e">
        <f>F44/E44*100</f>
        <v>#DIV/0!</v>
      </c>
      <c r="I44" s="50">
        <f>#N/A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>#N/A</f>
        <v>#REF!</v>
      </c>
      <c r="P44" s="50" t="e">
        <f>#N/A</f>
        <v>#REF!</v>
      </c>
      <c r="Q44" s="50"/>
      <c r="R44" s="126"/>
    </row>
    <row r="45" spans="1:18" s="6" customFormat="1" ht="30.7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#N/A</f>
        <v>0</v>
      </c>
      <c r="H45" s="35" t="e">
        <f>F45/E45*100</f>
        <v>#DIV/0!</v>
      </c>
      <c r="I45" s="50">
        <f>#N/A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>#N/A</f>
        <v>#REF!</v>
      </c>
      <c r="P45" s="50" t="e">
        <f>#N/A</f>
        <v>#REF!</v>
      </c>
      <c r="Q45" s="50"/>
      <c r="R45" s="126"/>
    </row>
    <row r="46" spans="1:18" s="6" customFormat="1" ht="30.7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#N/A</f>
        <v>0</v>
      </c>
      <c r="H46" s="35" t="e">
        <f>F46/E46*100</f>
        <v>#DIV/0!</v>
      </c>
      <c r="I46" s="50">
        <f>#N/A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#N/A</f>
        <v>#REF!</v>
      </c>
      <c r="P46" s="50" t="e">
        <f>#N/A</f>
        <v>#REF!</v>
      </c>
      <c r="Q46" s="50"/>
      <c r="R46" s="126"/>
    </row>
    <row r="47" spans="1:18" s="6" customFormat="1" ht="1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>#N/A</f>
        <v>#REF!</v>
      </c>
      <c r="Q47" s="50"/>
      <c r="R47" s="126"/>
    </row>
    <row r="48" spans="1:18" s="6" customFormat="1" ht="17.2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>#N/A</f>
        <v>-17.61999999999989</v>
      </c>
      <c r="H48" s="45">
        <f>#N/A</f>
        <v>98.30576923076924</v>
      </c>
      <c r="I48" s="31">
        <f>#N/A</f>
        <v>-11544.720000000001</v>
      </c>
      <c r="J48" s="31">
        <f>#N/A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>#N/A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0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>#N/A</f>
        <v>#REF!</v>
      </c>
      <c r="H49" s="35" t="e">
        <f>#N/A</f>
        <v>#REF!</v>
      </c>
      <c r="I49" s="50" t="e">
        <f>#N/A</f>
        <v>#REF!</v>
      </c>
      <c r="J49" s="50" t="e">
        <f>#N/A</f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>#N/A</f>
        <v>#REF!</v>
      </c>
      <c r="P49" s="50" t="e">
        <f>F49/M49*100</f>
        <v>#REF!</v>
      </c>
      <c r="Q49" s="50"/>
      <c r="R49" s="126"/>
    </row>
    <row r="50" spans="1:18" s="6" customFormat="1" ht="1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>#N/A</f>
        <v>0</v>
      </c>
      <c r="H50" s="35" t="e">
        <f>#N/A</f>
        <v>#DIV/0!</v>
      </c>
      <c r="I50" s="50" t="e">
        <f>#N/A</f>
        <v>#REF!</v>
      </c>
      <c r="J50" s="50" t="e">
        <f>#N/A</f>
        <v>#REF!</v>
      </c>
      <c r="K50" s="50"/>
      <c r="L50" s="50"/>
      <c r="M50" s="52"/>
      <c r="N50" s="52"/>
      <c r="O50" s="47">
        <f>#N/A</f>
        <v>0</v>
      </c>
      <c r="P50" s="50" t="e">
        <f>F50/M50*100</f>
        <v>#DIV/0!</v>
      </c>
      <c r="Q50" s="50"/>
      <c r="R50" s="126"/>
    </row>
    <row r="51" spans="1:18" s="6" customFormat="1" ht="46.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>#N/A</f>
        <v>-5</v>
      </c>
      <c r="H51" s="35">
        <f>#N/A</f>
        <v>0</v>
      </c>
      <c r="I51" s="50">
        <f>#N/A</f>
        <v>-200</v>
      </c>
      <c r="J51" s="50">
        <f>#N/A</f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>#N/A</f>
        <v>-5</v>
      </c>
      <c r="P51" s="50">
        <f>#N/A</f>
        <v>0</v>
      </c>
      <c r="Q51" s="50">
        <f>N51-0</f>
        <v>0</v>
      </c>
      <c r="R51" s="126" t="e">
        <f>N51/0</f>
        <v>#DIV/0!</v>
      </c>
    </row>
    <row r="52" spans="1:18" s="6" customFormat="1" ht="30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>#N/A</f>
        <v>0</v>
      </c>
      <c r="H52" s="35" t="e">
        <f>#N/A</f>
        <v>#DIV/0!</v>
      </c>
      <c r="I52" s="50">
        <f>#N/A</f>
        <v>0</v>
      </c>
      <c r="J52" s="50" t="e">
        <f>#N/A</f>
        <v>#DIV/0!</v>
      </c>
      <c r="K52" s="50"/>
      <c r="L52" s="50">
        <f>#N/A</f>
        <v>0</v>
      </c>
      <c r="M52" s="35">
        <f>#N/A</f>
        <v>0</v>
      </c>
      <c r="N52" s="35">
        <f>#N/A</f>
        <v>0</v>
      </c>
      <c r="O52" s="47">
        <f>#N/A</f>
        <v>0</v>
      </c>
      <c r="P52" s="50" t="e">
        <f>#N/A</f>
        <v>#DIV/0!</v>
      </c>
      <c r="Q52" s="50"/>
      <c r="R52" s="126"/>
    </row>
    <row r="53" spans="1:18" s="6" customFormat="1" ht="30.7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>#N/A</f>
        <v>0</v>
      </c>
      <c r="H53" s="35" t="e">
        <f>#N/A</f>
        <v>#DIV/0!</v>
      </c>
      <c r="I53" s="50">
        <f>#N/A</f>
        <v>0</v>
      </c>
      <c r="J53" s="50" t="e">
        <f>#N/A</f>
        <v>#DIV/0!</v>
      </c>
      <c r="K53" s="50"/>
      <c r="L53" s="50">
        <f>#N/A</f>
        <v>0</v>
      </c>
      <c r="M53" s="35">
        <f>#N/A</f>
        <v>0</v>
      </c>
      <c r="N53" s="35">
        <f>#N/A</f>
        <v>0</v>
      </c>
      <c r="O53" s="47">
        <f>#N/A</f>
        <v>0</v>
      </c>
      <c r="P53" s="50" t="e">
        <f>#N/A</f>
        <v>#DIV/0!</v>
      </c>
      <c r="Q53" s="50"/>
      <c r="R53" s="126"/>
    </row>
    <row r="54" spans="1:18" s="6" customFormat="1" ht="30.7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>#N/A</f>
        <v>0</v>
      </c>
      <c r="H54" s="35" t="e">
        <f>#N/A</f>
        <v>#DIV/0!</v>
      </c>
      <c r="I54" s="50">
        <f>#N/A</f>
        <v>0</v>
      </c>
      <c r="J54" s="50" t="e">
        <f>#N/A</f>
        <v>#DIV/0!</v>
      </c>
      <c r="K54" s="50"/>
      <c r="L54" s="50">
        <f>#N/A</f>
        <v>0</v>
      </c>
      <c r="M54" s="35">
        <f>#N/A</f>
        <v>0</v>
      </c>
      <c r="N54" s="35">
        <f>#N/A</f>
        <v>0</v>
      </c>
      <c r="O54" s="47">
        <f>#N/A</f>
        <v>0</v>
      </c>
      <c r="P54" s="50" t="e">
        <f>#N/A</f>
        <v>#DIV/0!</v>
      </c>
      <c r="Q54" s="50"/>
      <c r="R54" s="126"/>
    </row>
    <row r="55" spans="1:18" s="6" customFormat="1" ht="1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>#N/A</f>
        <v>0</v>
      </c>
      <c r="H55" s="35" t="e">
        <f>#N/A</f>
        <v>#DIV/0!</v>
      </c>
      <c r="I55" s="50">
        <f>#N/A</f>
        <v>0</v>
      </c>
      <c r="J55" s="50" t="e">
        <f>#N/A</f>
        <v>#DIV/0!</v>
      </c>
      <c r="K55" s="50"/>
      <c r="L55" s="50">
        <f>#N/A</f>
        <v>0</v>
      </c>
      <c r="M55" s="35">
        <f>#N/A</f>
        <v>0</v>
      </c>
      <c r="N55" s="35">
        <f>#N/A</f>
        <v>0</v>
      </c>
      <c r="O55" s="47">
        <f>#N/A</f>
        <v>0</v>
      </c>
      <c r="P55" s="50" t="e">
        <f>#N/A</f>
        <v>#DIV/0!</v>
      </c>
      <c r="Q55" s="50"/>
      <c r="R55" s="126"/>
    </row>
    <row r="56" spans="1:18" s="6" customFormat="1" ht="46.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>#N/A</f>
        <v>0</v>
      </c>
      <c r="H56" s="35" t="e">
        <f>#N/A</f>
        <v>#DIV/0!</v>
      </c>
      <c r="I56" s="50">
        <f>#N/A</f>
        <v>0</v>
      </c>
      <c r="J56" s="50" t="e">
        <f>#N/A</f>
        <v>#DIV/0!</v>
      </c>
      <c r="K56" s="50"/>
      <c r="L56" s="50">
        <f>#N/A</f>
        <v>0</v>
      </c>
      <c r="M56" s="35">
        <f>#N/A</f>
        <v>0</v>
      </c>
      <c r="N56" s="35">
        <f>#N/A</f>
        <v>0</v>
      </c>
      <c r="O56" s="47">
        <f>#N/A</f>
        <v>0</v>
      </c>
      <c r="P56" s="50" t="e">
        <f>#N/A</f>
        <v>#DIV/0!</v>
      </c>
      <c r="Q56" s="50"/>
      <c r="R56" s="126"/>
    </row>
    <row r="57" spans="1:18" s="6" customFormat="1" ht="46.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>#N/A</f>
        <v>0</v>
      </c>
      <c r="H57" s="35" t="e">
        <f>#N/A</f>
        <v>#DIV/0!</v>
      </c>
      <c r="I57" s="50">
        <f>#N/A</f>
        <v>0</v>
      </c>
      <c r="J57" s="50" t="e">
        <f>#N/A</f>
        <v>#DIV/0!</v>
      </c>
      <c r="K57" s="50"/>
      <c r="L57" s="50">
        <f>#N/A</f>
        <v>0</v>
      </c>
      <c r="M57" s="35">
        <f>#N/A</f>
        <v>0</v>
      </c>
      <c r="N57" s="35">
        <f>#N/A</f>
        <v>0</v>
      </c>
      <c r="O57" s="47">
        <f>#N/A</f>
        <v>0</v>
      </c>
      <c r="P57" s="50" t="e">
        <f>#N/A</f>
        <v>#DIV/0!</v>
      </c>
      <c r="Q57" s="50"/>
      <c r="R57" s="126"/>
    </row>
    <row r="58" spans="1:18" s="6" customFormat="1" ht="30.7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>#N/A</f>
        <v>0</v>
      </c>
      <c r="H58" s="35" t="e">
        <f>#N/A</f>
        <v>#DIV/0!</v>
      </c>
      <c r="I58" s="50">
        <f>#N/A</f>
        <v>0</v>
      </c>
      <c r="J58" s="50" t="e">
        <f>#N/A</f>
        <v>#DIV/0!</v>
      </c>
      <c r="K58" s="50"/>
      <c r="L58" s="50">
        <f>#N/A</f>
        <v>0</v>
      </c>
      <c r="M58" s="35">
        <f>#N/A</f>
        <v>0</v>
      </c>
      <c r="N58" s="35">
        <f>#N/A</f>
        <v>0</v>
      </c>
      <c r="O58" s="47">
        <f>#N/A</f>
        <v>0</v>
      </c>
      <c r="P58" s="50" t="e">
        <f>#N/A</f>
        <v>#DIV/0!</v>
      </c>
      <c r="Q58" s="50"/>
      <c r="R58" s="126"/>
    </row>
    <row r="59" spans="1:18" s="6" customFormat="1" ht="1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>#N/A</f>
        <v>0</v>
      </c>
      <c r="H59" s="35" t="e">
        <f>#N/A</f>
        <v>#DIV/0!</v>
      </c>
      <c r="I59" s="50">
        <f>#N/A</f>
        <v>0</v>
      </c>
      <c r="J59" s="50" t="e">
        <f>#N/A</f>
        <v>#DIV/0!</v>
      </c>
      <c r="K59" s="50"/>
      <c r="L59" s="50">
        <f>#N/A</f>
        <v>0</v>
      </c>
      <c r="M59" s="35">
        <f>#N/A</f>
        <v>0</v>
      </c>
      <c r="N59" s="35">
        <f>#N/A</f>
        <v>0</v>
      </c>
      <c r="O59" s="47">
        <f>#N/A</f>
        <v>0</v>
      </c>
      <c r="P59" s="50" t="e">
        <f>#N/A</f>
        <v>#DIV/0!</v>
      </c>
      <c r="Q59" s="50"/>
      <c r="R59" s="126"/>
    </row>
    <row r="60" spans="1:18" s="6" customFormat="1" ht="30.7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>#N/A</f>
        <v>0</v>
      </c>
      <c r="H60" s="35"/>
      <c r="I60" s="50">
        <f>#N/A</f>
        <v>0</v>
      </c>
      <c r="J60" s="50" t="e">
        <f>#N/A</f>
        <v>#DIV/0!</v>
      </c>
      <c r="K60" s="50">
        <f>F60-0</f>
        <v>0</v>
      </c>
      <c r="L60" s="50" t="e">
        <f>F60/0*100</f>
        <v>#DIV/0!</v>
      </c>
      <c r="M60" s="35">
        <f>#N/A</f>
        <v>0</v>
      </c>
      <c r="N60" s="35">
        <f>#N/A</f>
        <v>0</v>
      </c>
      <c r="O60" s="47">
        <f>#N/A</f>
        <v>0</v>
      </c>
      <c r="P60" s="50" t="e">
        <f>#N/A</f>
        <v>#DIV/0!</v>
      </c>
      <c r="Q60" s="50">
        <f>N60-0</f>
        <v>0</v>
      </c>
      <c r="R60" s="126" t="e">
        <f>N60/0</f>
        <v>#DIV/0!</v>
      </c>
    </row>
    <row r="61" spans="1:18" s="6" customFormat="1" ht="1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>#N/A</f>
        <v>1.67</v>
      </c>
      <c r="H61" s="35"/>
      <c r="I61" s="50">
        <f>#N/A</f>
        <v>1.67</v>
      </c>
      <c r="J61" s="50"/>
      <c r="K61" s="50"/>
      <c r="L61" s="50"/>
      <c r="M61" s="35">
        <f>#N/A</f>
        <v>0</v>
      </c>
      <c r="N61" s="35">
        <f>#N/A</f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0.7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>#N/A</f>
        <v>0</v>
      </c>
      <c r="H62" s="35" t="e">
        <f>F62/E62*100</f>
        <v>#DIV/0!</v>
      </c>
      <c r="I62" s="50">
        <f>#N/A</f>
        <v>-6.5</v>
      </c>
      <c r="J62" s="50">
        <f>#N/A</f>
        <v>0</v>
      </c>
      <c r="K62" s="50">
        <f>F62-0</f>
        <v>0</v>
      </c>
      <c r="L62" s="50" t="e">
        <f>F62/0*100</f>
        <v>#DIV/0!</v>
      </c>
      <c r="M62" s="35">
        <f>#N/A</f>
        <v>0</v>
      </c>
      <c r="N62" s="35">
        <f>#N/A</f>
        <v>0</v>
      </c>
      <c r="O62" s="47">
        <f>#N/A</f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>#N/A</f>
        <v>1.5999999999999996</v>
      </c>
      <c r="H63" s="35">
        <f>F63/E63*100</f>
        <v>126.66666666666666</v>
      </c>
      <c r="I63" s="50">
        <f>#N/A</f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>#N/A</f>
        <v>6</v>
      </c>
      <c r="N63" s="35">
        <f>#N/A</f>
        <v>7.6</v>
      </c>
      <c r="O63" s="47">
        <f>#N/A</f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7.2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>#N/A</f>
        <v>0</v>
      </c>
      <c r="H64" s="35" t="e">
        <f>F64/E64*100</f>
        <v>#DIV/0!</v>
      </c>
      <c r="I64" s="50">
        <f>#N/A</f>
        <v>0</v>
      </c>
      <c r="J64" s="50" t="e">
        <f>#N/A</f>
        <v>#DIV/0!</v>
      </c>
      <c r="K64" s="50"/>
      <c r="L64" s="50">
        <f>#N/A</f>
        <v>0</v>
      </c>
      <c r="M64" s="35">
        <f>#N/A</f>
        <v>0</v>
      </c>
      <c r="N64" s="35">
        <f>#N/A</f>
        <v>0</v>
      </c>
      <c r="O64" s="47">
        <f>#N/A</f>
        <v>0</v>
      </c>
      <c r="P64" s="50" t="e">
        <f>N64/M64*100</f>
        <v>#DIV/0!</v>
      </c>
      <c r="Q64" s="50"/>
      <c r="R64" s="126"/>
    </row>
    <row r="65" spans="1:18" s="6" customFormat="1" ht="1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>#N/A</f>
        <v>0</v>
      </c>
      <c r="H65" s="35" t="e">
        <f>F65/E65*100</f>
        <v>#DIV/0!</v>
      </c>
      <c r="I65" s="50">
        <f>#N/A</f>
        <v>0</v>
      </c>
      <c r="J65" s="50" t="e">
        <f>#N/A</f>
        <v>#DIV/0!</v>
      </c>
      <c r="K65" s="50"/>
      <c r="L65" s="50">
        <f>#N/A</f>
        <v>0</v>
      </c>
      <c r="M65" s="35">
        <f>#N/A</f>
        <v>0</v>
      </c>
      <c r="N65" s="35">
        <f>#N/A</f>
        <v>0</v>
      </c>
      <c r="O65" s="47">
        <f>#N/A</f>
        <v>0</v>
      </c>
      <c r="P65" s="50" t="e">
        <f>N65/M65*100</f>
        <v>#DIV/0!</v>
      </c>
      <c r="Q65" s="50"/>
      <c r="R65" s="126"/>
    </row>
    <row r="66" spans="1:18" s="6" customFormat="1" ht="1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>#N/A</f>
        <v>0</v>
      </c>
      <c r="H66" s="35" t="e">
        <f>F66/E66*100</f>
        <v>#DIV/0!</v>
      </c>
      <c r="I66" s="50">
        <f>#N/A</f>
        <v>0</v>
      </c>
      <c r="J66" s="50" t="e">
        <f>#N/A</f>
        <v>#DIV/0!</v>
      </c>
      <c r="K66" s="50"/>
      <c r="L66" s="50">
        <f>#N/A</f>
        <v>0</v>
      </c>
      <c r="M66" s="35">
        <f>#N/A</f>
        <v>0</v>
      </c>
      <c r="N66" s="35">
        <f>#N/A</f>
        <v>0</v>
      </c>
      <c r="O66" s="47">
        <f>#N/A</f>
        <v>0</v>
      </c>
      <c r="P66" s="50" t="e">
        <f>N66/M66*100</f>
        <v>#DIV/0!</v>
      </c>
      <c r="Q66" s="50"/>
      <c r="R66" s="126"/>
    </row>
    <row r="67" spans="1:18" s="6" customFormat="1" ht="30.7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>#N/A</f>
        <v>0</v>
      </c>
      <c r="H67" s="35"/>
      <c r="I67" s="50">
        <f>#N/A</f>
        <v>0</v>
      </c>
      <c r="J67" s="50"/>
      <c r="K67" s="50"/>
      <c r="L67" s="50">
        <f>#N/A</f>
        <v>0</v>
      </c>
      <c r="M67" s="35">
        <f>#N/A</f>
        <v>0</v>
      </c>
      <c r="N67" s="35">
        <f>#N/A</f>
        <v>0</v>
      </c>
      <c r="O67" s="47"/>
      <c r="P67" s="50"/>
      <c r="Q67" s="50"/>
      <c r="R67" s="126"/>
    </row>
    <row r="68" spans="1:18" s="6" customFormat="1" ht="46.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>#N/A</f>
        <v>0</v>
      </c>
      <c r="H68" s="35"/>
      <c r="I68" s="50">
        <f>#N/A</f>
        <v>0</v>
      </c>
      <c r="J68" s="50"/>
      <c r="K68" s="50"/>
      <c r="L68" s="50">
        <f>#N/A</f>
        <v>0</v>
      </c>
      <c r="M68" s="35">
        <f>#N/A</f>
        <v>0</v>
      </c>
      <c r="N68" s="35">
        <f>#N/A</f>
        <v>0</v>
      </c>
      <c r="O68" s="47">
        <f>#N/A</f>
        <v>0</v>
      </c>
      <c r="P68" s="50"/>
      <c r="Q68" s="50"/>
      <c r="R68" s="126"/>
    </row>
    <row r="69" spans="1:18" s="6" customFormat="1" ht="30.7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>#N/A</f>
        <v>0.7000000000000455</v>
      </c>
      <c r="H69" s="35">
        <f>F69/E69*100</f>
        <v>100.10144927536233</v>
      </c>
      <c r="I69" s="50">
        <f>#N/A</f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>#N/A</f>
        <v>690</v>
      </c>
      <c r="N69" s="35">
        <f>#N/A</f>
        <v>690.7</v>
      </c>
      <c r="O69" s="47">
        <f>#N/A</f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>#N/A</f>
        <v>0.21000000000000085</v>
      </c>
      <c r="H70" s="35">
        <f>F70/E70*100</f>
        <v>100.35593220338983</v>
      </c>
      <c r="I70" s="50">
        <f>#N/A</f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>#N/A</f>
        <v>59</v>
      </c>
      <c r="N70" s="35">
        <f>#N/A</f>
        <v>59.21</v>
      </c>
      <c r="O70" s="47">
        <f>#N/A</f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6.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>#N/A</f>
        <v>0</v>
      </c>
      <c r="H71" s="35"/>
      <c r="I71" s="50">
        <f>#N/A</f>
        <v>-7.6</v>
      </c>
      <c r="J71" s="50"/>
      <c r="K71" s="50"/>
      <c r="L71" s="50"/>
      <c r="M71" s="35">
        <f>#N/A</f>
        <v>0</v>
      </c>
      <c r="N71" s="35">
        <f>#N/A</f>
        <v>0</v>
      </c>
      <c r="O71" s="47">
        <f>#N/A</f>
        <v>0</v>
      </c>
      <c r="P71" s="50"/>
      <c r="Q71" s="50">
        <f>N71-0</f>
        <v>0</v>
      </c>
      <c r="R71" s="126"/>
    </row>
    <row r="72" spans="1:18" s="6" customFormat="1" ht="1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>#N/A</f>
        <v>0</v>
      </c>
      <c r="H72" s="35" t="e">
        <f>F72/E72*100</f>
        <v>#DIV/0!</v>
      </c>
      <c r="I72" s="50">
        <f>#N/A</f>
        <v>0</v>
      </c>
      <c r="J72" s="50" t="e">
        <f>F72/D72*100</f>
        <v>#DIV/0!</v>
      </c>
      <c r="K72" s="50"/>
      <c r="L72" s="50">
        <f>#N/A</f>
        <v>0</v>
      </c>
      <c r="M72" s="35">
        <f>#N/A</f>
        <v>0</v>
      </c>
      <c r="N72" s="35">
        <f>#N/A</f>
        <v>0</v>
      </c>
      <c r="O72" s="47">
        <f>#N/A</f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>#N/A</f>
        <v>-16.80000000000001</v>
      </c>
      <c r="H73" s="35">
        <f>F73/E73*100</f>
        <v>94</v>
      </c>
      <c r="I73" s="50">
        <f>#N/A</f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>#N/A</f>
        <v>280</v>
      </c>
      <c r="N73" s="35">
        <f>#N/A</f>
        <v>263.2</v>
      </c>
      <c r="O73" s="47">
        <f>#N/A</f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>#N/A</f>
        <v>0</v>
      </c>
      <c r="H74" s="35" t="e">
        <f>F74/E74*100</f>
        <v>#DIV/0!</v>
      </c>
      <c r="I74" s="50">
        <f>#N/A</f>
        <v>0</v>
      </c>
      <c r="J74" s="50" t="e">
        <f>F74/D74*100</f>
        <v>#DIV/0!</v>
      </c>
      <c r="K74" s="50"/>
      <c r="L74" s="50">
        <f>#N/A</f>
        <v>0</v>
      </c>
      <c r="M74" s="35">
        <f>#N/A</f>
        <v>0</v>
      </c>
      <c r="N74" s="35">
        <f>#N/A</f>
        <v>0</v>
      </c>
      <c r="O74" s="47">
        <f>#N/A</f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>#N/A</f>
        <v>0</v>
      </c>
      <c r="H75" s="35" t="e">
        <f>F75/E75*100</f>
        <v>#DIV/0!</v>
      </c>
      <c r="I75" s="50">
        <f>#N/A</f>
        <v>0</v>
      </c>
      <c r="J75" s="50" t="e">
        <f>F75/D75*100</f>
        <v>#DIV/0!</v>
      </c>
      <c r="K75" s="50"/>
      <c r="L75" s="50">
        <f>#N/A</f>
        <v>0</v>
      </c>
      <c r="M75" s="35">
        <f>#N/A</f>
        <v>0</v>
      </c>
      <c r="N75" s="35">
        <f>#N/A</f>
        <v>0</v>
      </c>
      <c r="O75" s="47">
        <f>#N/A</f>
        <v>0</v>
      </c>
      <c r="P75" s="50"/>
      <c r="Q75" s="50"/>
      <c r="R75" s="126">
        <f>N75/277.38</f>
        <v>0</v>
      </c>
    </row>
    <row r="76" spans="1:18" s="6" customFormat="1" ht="30.7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>#N/A</f>
        <v>82.7</v>
      </c>
      <c r="H76" s="35"/>
      <c r="I76" s="50">
        <f>#N/A</f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>#N/A</f>
        <v>0</v>
      </c>
      <c r="N76" s="35">
        <f>#N/A</f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>#N/A</f>
        <v>0</v>
      </c>
      <c r="H77" s="35"/>
      <c r="I77" s="50">
        <f>#N/A</f>
        <v>-13</v>
      </c>
      <c r="J77" s="50"/>
      <c r="K77" s="50">
        <f>F77-0</f>
        <v>0</v>
      </c>
      <c r="L77" s="50" t="e">
        <f>F77/0*100</f>
        <v>#DIV/0!</v>
      </c>
      <c r="M77" s="35">
        <f>#N/A</f>
        <v>0</v>
      </c>
      <c r="N77" s="35">
        <f>#N/A</f>
        <v>0</v>
      </c>
      <c r="O77" s="47">
        <f>#N/A</f>
        <v>0</v>
      </c>
      <c r="P77" s="50"/>
      <c r="Q77" s="50"/>
      <c r="R77" s="126"/>
    </row>
    <row r="78" spans="1:18" s="6" customFormat="1" ht="1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>#N/A</f>
        <v>0</v>
      </c>
      <c r="H78" s="35">
        <f>F78/E78*100</f>
        <v>100</v>
      </c>
      <c r="I78" s="50">
        <f>#N/A</f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>#N/A</f>
        <v>1.8</v>
      </c>
      <c r="N78" s="35">
        <f>#N/A</f>
        <v>1.8</v>
      </c>
      <c r="O78" s="47">
        <f>#N/A</f>
        <v>0</v>
      </c>
      <c r="P78" s="50"/>
      <c r="Q78" s="50"/>
      <c r="R78" s="126"/>
    </row>
    <row r="79" spans="1:18" s="6" customFormat="1" ht="30.7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>#N/A</f>
        <v>0.02</v>
      </c>
      <c r="H79" s="35"/>
      <c r="I79" s="50">
        <f>#N/A</f>
        <v>0.02</v>
      </c>
      <c r="J79" s="50"/>
      <c r="K79" s="50"/>
      <c r="L79" s="50"/>
      <c r="M79" s="35">
        <f>#N/A</f>
        <v>0</v>
      </c>
      <c r="N79" s="35">
        <f>#N/A</f>
        <v>0.02</v>
      </c>
      <c r="O79" s="47">
        <f>#N/A</f>
        <v>0.02</v>
      </c>
      <c r="P79" s="50"/>
      <c r="Q79" s="50"/>
      <c r="R79" s="126"/>
    </row>
    <row r="80" spans="1:21" s="6" customFormat="1" ht="17.2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>#N/A</f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>#N/A</f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7.2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>#N/A</f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>#N/A</f>
        <v>0</v>
      </c>
      <c r="P81" s="46" t="e">
        <f>N81/M81*100</f>
        <v>#DIV/0!</v>
      </c>
      <c r="Q81" s="46"/>
      <c r="R81" s="128"/>
    </row>
    <row r="82" spans="1:18" s="66" customFormat="1" ht="17.2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>#N/A</f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>#N/A</f>
        <v>-1171.6179</v>
      </c>
      <c r="P82" s="46">
        <f>N82/M82*100</f>
        <v>0</v>
      </c>
      <c r="Q82" s="46"/>
      <c r="R82" s="128"/>
    </row>
    <row r="83" spans="1:18" s="66" customFormat="1" ht="36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>#N/A</f>
        <v>0</v>
      </c>
      <c r="P83" s="46"/>
      <c r="Q83" s="46"/>
      <c r="R83" s="128"/>
    </row>
    <row r="84" spans="2:18" ht="1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0.7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>#N/A</f>
        <v>4.4</v>
      </c>
      <c r="H85" s="35"/>
      <c r="I85" s="53">
        <f>#N/A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>#N/A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>#N/A</f>
        <v>4.4</v>
      </c>
      <c r="H86" s="65"/>
      <c r="I86" s="54">
        <f>#N/A</f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>#N/A</f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6.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>#N/A</f>
        <v>0</v>
      </c>
      <c r="H87" s="35" t="e">
        <f>#N/A</f>
        <v>#DIV/0!</v>
      </c>
      <c r="I87" s="53">
        <f>#N/A</f>
        <v>0</v>
      </c>
      <c r="J87" s="53" t="e">
        <f>#N/A</f>
        <v>#DIV/0!</v>
      </c>
      <c r="K87" s="53"/>
      <c r="L87" s="53"/>
      <c r="M87" s="36">
        <v>0</v>
      </c>
      <c r="N87" s="36">
        <f>F87</f>
        <v>0</v>
      </c>
      <c r="O87" s="47">
        <f>#N/A</f>
        <v>0</v>
      </c>
      <c r="P87" s="53" t="e">
        <f>#N/A</f>
        <v>#DIV/0!</v>
      </c>
      <c r="Q87" s="53"/>
      <c r="R87" s="129"/>
    </row>
    <row r="88" spans="2:18" ht="30.7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>#N/A</f>
        <v>0.03</v>
      </c>
      <c r="H88" s="35" t="e">
        <f>#N/A</f>
        <v>#DIV/0!</v>
      </c>
      <c r="I88" s="53">
        <f>#N/A</f>
        <v>-2499.97</v>
      </c>
      <c r="J88" s="53">
        <f>#N/A</f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>#N/A</f>
        <v>0.03</v>
      </c>
      <c r="P88" s="53" t="e">
        <f>#N/A</f>
        <v>#DIV/0!</v>
      </c>
      <c r="Q88" s="53">
        <f>N88-0.04</f>
        <v>-0.010000000000000002</v>
      </c>
      <c r="R88" s="129">
        <f>N88/0.04</f>
        <v>0.75</v>
      </c>
    </row>
    <row r="89" spans="2:18" ht="1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>#N/A</f>
        <v>-0.007999999999981355</v>
      </c>
      <c r="H89" s="35">
        <f>#N/A</f>
        <v>99.99691949880246</v>
      </c>
      <c r="I89" s="53">
        <f>#N/A</f>
        <v>-11316.31</v>
      </c>
      <c r="J89" s="53">
        <f>#N/A</f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>#N/A</f>
        <v>-0.007999999999981355</v>
      </c>
      <c r="P89" s="53">
        <f>#N/A</f>
        <v>99.99691949880246</v>
      </c>
      <c r="Q89" s="53">
        <f>N89-450.01</f>
        <v>-190.32</v>
      </c>
      <c r="R89" s="129">
        <f>N89/450.01</f>
        <v>0.5770760649763339</v>
      </c>
    </row>
    <row r="90" spans="2:18" ht="30.7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>#N/A</f>
        <v>-16.04</v>
      </c>
      <c r="H90" s="35" t="e">
        <f>#N/A</f>
        <v>#DIV/0!</v>
      </c>
      <c r="I90" s="53">
        <f>#N/A</f>
        <v>-3016.04</v>
      </c>
      <c r="J90" s="53">
        <f>#N/A</f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>#N/A</f>
        <v>-16.04</v>
      </c>
      <c r="P90" s="53" t="e">
        <f>#N/A</f>
        <v>#DIV/0!</v>
      </c>
      <c r="Q90" s="53">
        <f>N90-1.05</f>
        <v>-17.09</v>
      </c>
      <c r="R90" s="129">
        <f>N90/1.05</f>
        <v>-15.276190476190475</v>
      </c>
    </row>
    <row r="91" spans="2:19" ht="33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>#N/A</f>
        <v>-16.018</v>
      </c>
      <c r="H91" s="65">
        <f>#N/A</f>
        <v>93.83206647721585</v>
      </c>
      <c r="I91" s="54">
        <f>#N/A</f>
        <v>-16832.32</v>
      </c>
      <c r="J91" s="54">
        <f>#N/A</f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>#N/A</f>
        <v>-16.018</v>
      </c>
      <c r="P91" s="54">
        <f>#N/A</f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6.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>#N/A</f>
        <v>0</v>
      </c>
      <c r="H92" s="35" t="e">
        <f>#N/A</f>
        <v>#DIV/0!</v>
      </c>
      <c r="I92" s="53">
        <f>#N/A</f>
        <v>-35</v>
      </c>
      <c r="J92" s="53">
        <f>#N/A</f>
        <v>0</v>
      </c>
      <c r="K92" s="53">
        <f>F92-0.16</f>
        <v>-0.16</v>
      </c>
      <c r="L92" s="53">
        <f>F92/0.16*100</f>
        <v>0</v>
      </c>
      <c r="M92" s="35">
        <f>#N/A</f>
        <v>0</v>
      </c>
      <c r="N92" s="35">
        <f>#N/A</f>
        <v>0</v>
      </c>
      <c r="O92" s="47">
        <f>#N/A</f>
        <v>0</v>
      </c>
      <c r="P92" s="53" t="e">
        <f>#N/A</f>
        <v>#DIV/0!</v>
      </c>
      <c r="Q92" s="53">
        <f>N92-0.16</f>
        <v>-0.16</v>
      </c>
      <c r="R92" s="129">
        <f>N92/0.16</f>
        <v>0</v>
      </c>
    </row>
    <row r="93" spans="2:18" ht="1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>#N/A</f>
        <v>0</v>
      </c>
      <c r="H93" s="35" t="e">
        <f>#N/A</f>
        <v>#DIV/0!</v>
      </c>
      <c r="I93" s="56"/>
      <c r="J93" s="56"/>
      <c r="K93" s="56"/>
      <c r="L93" s="53">
        <f>F93</f>
        <v>0</v>
      </c>
      <c r="M93" s="35">
        <f>#N/A</f>
        <v>0</v>
      </c>
      <c r="N93" s="35">
        <f>#N/A</f>
        <v>0</v>
      </c>
      <c r="O93" s="47">
        <f>#N/A</f>
        <v>0</v>
      </c>
      <c r="P93" s="56"/>
      <c r="Q93" s="56"/>
      <c r="R93" s="131"/>
    </row>
    <row r="94" spans="2:18" ht="1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>#N/A</f>
        <v>0</v>
      </c>
      <c r="N94" s="35">
        <f>#N/A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0.7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0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0.7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7.2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">
      <c r="B100" s="23" t="s">
        <v>117</v>
      </c>
      <c r="N100" s="29"/>
    </row>
    <row r="101" spans="2:4" ht="15">
      <c r="B101" s="4" t="s">
        <v>119</v>
      </c>
      <c r="C101" s="101">
        <v>0</v>
      </c>
      <c r="D101" s="4" t="s">
        <v>118</v>
      </c>
    </row>
    <row r="102" spans="2:17" ht="30.75">
      <c r="B102" s="71" t="s">
        <v>154</v>
      </c>
      <c r="C102" s="34">
        <f>IF(O80&lt;0,ABS(O80/C101),0)</f>
        <v>0</v>
      </c>
      <c r="D102" s="4" t="s">
        <v>104</v>
      </c>
      <c r="G102" s="266"/>
      <c r="H102" s="266"/>
      <c r="I102" s="266"/>
      <c r="J102" s="266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63"/>
      <c r="O103" s="263"/>
    </row>
    <row r="104" spans="3:15" ht="15">
      <c r="C104" s="111">
        <v>42033</v>
      </c>
      <c r="D104" s="34">
        <v>2896.5</v>
      </c>
      <c r="F104" s="155" t="s">
        <v>166</v>
      </c>
      <c r="G104" s="277" t="s">
        <v>151</v>
      </c>
      <c r="H104" s="277"/>
      <c r="I104" s="106">
        <f>'січень '!I139</f>
        <v>8909.733</v>
      </c>
      <c r="J104" s="293" t="s">
        <v>161</v>
      </c>
      <c r="K104" s="293"/>
      <c r="L104" s="293"/>
      <c r="M104" s="293"/>
      <c r="N104" s="263"/>
      <c r="O104" s="263"/>
    </row>
    <row r="105" spans="3:15" ht="15">
      <c r="C105" s="111">
        <v>42032</v>
      </c>
      <c r="D105" s="34">
        <v>2838.1</v>
      </c>
      <c r="G105" s="285" t="s">
        <v>155</v>
      </c>
      <c r="H105" s="285"/>
      <c r="I105" s="103">
        <f>'січень '!I140</f>
        <v>0</v>
      </c>
      <c r="J105" s="292" t="s">
        <v>162</v>
      </c>
      <c r="K105" s="292"/>
      <c r="L105" s="292"/>
      <c r="M105" s="292"/>
      <c r="N105" s="263"/>
      <c r="O105" s="263"/>
    </row>
    <row r="106" spans="7:13" ht="15.75" customHeight="1">
      <c r="G106" s="277" t="s">
        <v>148</v>
      </c>
      <c r="H106" s="277"/>
      <c r="I106" s="103">
        <f>'січень '!I141</f>
        <v>0</v>
      </c>
      <c r="J106" s="293" t="s">
        <v>163</v>
      </c>
      <c r="K106" s="293"/>
      <c r="L106" s="293"/>
      <c r="M106" s="293"/>
    </row>
    <row r="107" spans="2:13" ht="18.75" customHeight="1">
      <c r="B107" s="270" t="s">
        <v>160</v>
      </c>
      <c r="C107" s="271"/>
      <c r="D107" s="108">
        <f>'січень '!D142</f>
        <v>132375.63</v>
      </c>
      <c r="E107" s="73"/>
      <c r="F107" s="156" t="s">
        <v>147</v>
      </c>
      <c r="G107" s="277" t="s">
        <v>149</v>
      </c>
      <c r="H107" s="277"/>
      <c r="I107" s="107">
        <f>'січень '!I142</f>
        <v>123465.893</v>
      </c>
      <c r="J107" s="293" t="s">
        <v>164</v>
      </c>
      <c r="K107" s="293"/>
      <c r="L107" s="293"/>
      <c r="M107" s="293"/>
    </row>
    <row r="108" spans="7:12" ht="9.75" customHeight="1">
      <c r="G108" s="261"/>
      <c r="H108" s="261"/>
      <c r="I108" s="90"/>
      <c r="J108" s="91"/>
      <c r="K108" s="91"/>
      <c r="L108" s="91"/>
    </row>
    <row r="109" spans="2:12" ht="22.5" customHeight="1" hidden="1">
      <c r="B109" s="267" t="s">
        <v>167</v>
      </c>
      <c r="C109" s="268"/>
      <c r="D109" s="110">
        <v>0</v>
      </c>
      <c r="E109" s="70" t="s">
        <v>104</v>
      </c>
      <c r="G109" s="261"/>
      <c r="H109" s="261"/>
      <c r="I109" s="90"/>
      <c r="J109" s="91"/>
      <c r="K109" s="91"/>
      <c r="L109" s="91"/>
    </row>
    <row r="110" spans="4:15" ht="15">
      <c r="D110" s="105"/>
      <c r="N110" s="261"/>
      <c r="O110" s="261"/>
    </row>
    <row r="111" spans="4:15" ht="15">
      <c r="D111" s="104"/>
      <c r="I111" s="34"/>
      <c r="N111" s="269"/>
      <c r="O111" s="269"/>
    </row>
    <row r="112" spans="14:15" ht="15">
      <c r="N112" s="261"/>
      <c r="O112" s="261"/>
    </row>
  </sheetData>
  <sheetProtection/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F3:J3"/>
    <mergeCell ref="M3:M5"/>
    <mergeCell ref="N3:R3"/>
    <mergeCell ref="E4:E5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zoomScalePageLayoutView="0" workbookViewId="0" topLeftCell="B1">
      <pane xSplit="2" ySplit="9" topLeftCell="D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1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50390625" style="4" customWidth="1"/>
    <col min="9" max="9" width="12.75390625" style="4" customWidth="1"/>
    <col min="10" max="10" width="9.5039062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47" t="s">
        <v>193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117"/>
      <c r="R1" s="118"/>
    </row>
    <row r="2" spans="2:18" s="1" customFormat="1" ht="15.75" customHeight="1">
      <c r="B2" s="248"/>
      <c r="C2" s="248"/>
      <c r="D2" s="24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49"/>
      <c r="B3" s="276" t="s">
        <v>203</v>
      </c>
      <c r="C3" s="252" t="s">
        <v>0</v>
      </c>
      <c r="D3" s="274" t="s">
        <v>190</v>
      </c>
      <c r="E3" s="40"/>
      <c r="F3" s="253" t="s">
        <v>107</v>
      </c>
      <c r="G3" s="254"/>
      <c r="H3" s="254"/>
      <c r="I3" s="254"/>
      <c r="J3" s="275"/>
      <c r="K3" s="114"/>
      <c r="L3" s="114"/>
      <c r="M3" s="255" t="s">
        <v>187</v>
      </c>
      <c r="N3" s="236" t="s">
        <v>175</v>
      </c>
      <c r="O3" s="236"/>
      <c r="P3" s="236"/>
      <c r="Q3" s="236"/>
      <c r="R3" s="236"/>
    </row>
    <row r="4" spans="1:18" ht="22.5" customHeight="1">
      <c r="A4" s="249"/>
      <c r="B4" s="276"/>
      <c r="C4" s="252"/>
      <c r="D4" s="274"/>
      <c r="E4" s="237" t="s">
        <v>153</v>
      </c>
      <c r="F4" s="239" t="s">
        <v>116</v>
      </c>
      <c r="G4" s="272" t="s">
        <v>173</v>
      </c>
      <c r="H4" s="286" t="s">
        <v>174</v>
      </c>
      <c r="I4" s="288" t="s">
        <v>186</v>
      </c>
      <c r="J4" s="290" t="s">
        <v>189</v>
      </c>
      <c r="K4" s="116" t="s">
        <v>172</v>
      </c>
      <c r="L4" s="121" t="s">
        <v>171</v>
      </c>
      <c r="M4" s="256"/>
      <c r="N4" s="258" t="s">
        <v>194</v>
      </c>
      <c r="O4" s="288" t="s">
        <v>136</v>
      </c>
      <c r="P4" s="236" t="s">
        <v>135</v>
      </c>
      <c r="Q4" s="122" t="s">
        <v>172</v>
      </c>
      <c r="R4" s="123" t="s">
        <v>171</v>
      </c>
    </row>
    <row r="5" spans="1:19" ht="92.25" customHeight="1">
      <c r="A5" s="250"/>
      <c r="B5" s="276"/>
      <c r="C5" s="252"/>
      <c r="D5" s="274"/>
      <c r="E5" s="238"/>
      <c r="F5" s="240"/>
      <c r="G5" s="273"/>
      <c r="H5" s="287"/>
      <c r="I5" s="289"/>
      <c r="J5" s="291"/>
      <c r="K5" s="245" t="s">
        <v>188</v>
      </c>
      <c r="L5" s="246"/>
      <c r="M5" s="257"/>
      <c r="N5" s="259"/>
      <c r="O5" s="289"/>
      <c r="P5" s="236"/>
      <c r="Q5" s="245" t="s">
        <v>176</v>
      </c>
      <c r="R5" s="246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7.2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>#N/A</f>
        <v>16410.820000000003</v>
      </c>
      <c r="H8" s="45">
        <f>F8/E8*100</f>
        <v>187.8619977031741</v>
      </c>
      <c r="I8" s="31">
        <f>#N/A</f>
        <v>-154681.93</v>
      </c>
      <c r="J8" s="31">
        <f>#N/A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>#N/A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0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>#N/A</f>
        <v>29011.72</v>
      </c>
      <c r="H9" s="16"/>
      <c r="I9" s="50">
        <f>#N/A</f>
        <v>-114951.98000000001</v>
      </c>
      <c r="J9" s="50">
        <f>#N/A</f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>#N/A</f>
        <v>17666.77</v>
      </c>
      <c r="P9" s="50">
        <f>F9/M9*100</f>
        <v>255.72364796671647</v>
      </c>
      <c r="Q9" s="50"/>
      <c r="R9" s="126"/>
    </row>
    <row r="10" spans="1:20" s="6" customFormat="1" ht="1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>#N/A</f>
        <v>17666.77</v>
      </c>
      <c r="H10" s="35">
        <f>#N/A</f>
        <v>255.72364796671647</v>
      </c>
      <c r="I10" s="50">
        <f>#N/A</f>
        <v>-114951.98000000001</v>
      </c>
      <c r="J10" s="50">
        <f>#N/A</f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>#N/A</f>
        <v>17666.77</v>
      </c>
      <c r="P10" s="50">
        <f>#N/A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>#N/A</f>
        <v>0</v>
      </c>
      <c r="H11" s="35" t="e">
        <f>#N/A</f>
        <v>#DIV/0!</v>
      </c>
      <c r="I11" s="50">
        <f>#N/A</f>
        <v>0</v>
      </c>
      <c r="J11" s="50" t="e">
        <f>#N/A</f>
        <v>#DIV/0!</v>
      </c>
      <c r="K11" s="50"/>
      <c r="L11" s="50"/>
      <c r="M11" s="35">
        <f>#N/A</f>
        <v>0</v>
      </c>
      <c r="N11" s="35">
        <f>#N/A</f>
        <v>0</v>
      </c>
      <c r="O11" s="47">
        <f>#N/A</f>
        <v>0</v>
      </c>
      <c r="P11" s="50" t="e">
        <f>#N/A</f>
        <v>#DIV/0!</v>
      </c>
      <c r="Q11" s="50"/>
      <c r="R11" s="126"/>
    </row>
    <row r="12" spans="1:18" s="6" customFormat="1" ht="30.7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>#N/A</f>
        <v>0</v>
      </c>
      <c r="H12" s="35" t="e">
        <f>#N/A</f>
        <v>#DIV/0!</v>
      </c>
      <c r="I12" s="50">
        <f>#N/A</f>
        <v>0</v>
      </c>
      <c r="J12" s="50" t="e">
        <f>#N/A</f>
        <v>#DIV/0!</v>
      </c>
      <c r="K12" s="50"/>
      <c r="L12" s="50"/>
      <c r="M12" s="35">
        <f>#N/A</f>
        <v>0</v>
      </c>
      <c r="N12" s="35">
        <f>#N/A</f>
        <v>0</v>
      </c>
      <c r="O12" s="47">
        <f>#N/A</f>
        <v>0</v>
      </c>
      <c r="P12" s="50" t="e">
        <f>#N/A</f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>#N/A</f>
        <v>0</v>
      </c>
      <c r="H13" s="35" t="e">
        <f>#N/A</f>
        <v>#DIV/0!</v>
      </c>
      <c r="I13" s="50">
        <f>#N/A</f>
        <v>0</v>
      </c>
      <c r="J13" s="50" t="e">
        <f>#N/A</f>
        <v>#DIV/0!</v>
      </c>
      <c r="K13" s="50"/>
      <c r="L13" s="50"/>
      <c r="M13" s="35">
        <f>#N/A</f>
        <v>0</v>
      </c>
      <c r="N13" s="35">
        <f>#N/A</f>
        <v>0</v>
      </c>
      <c r="O13" s="47">
        <f>#N/A</f>
        <v>0</v>
      </c>
      <c r="P13" s="50" t="e">
        <f>#N/A</f>
        <v>#DIV/0!</v>
      </c>
      <c r="Q13" s="50"/>
      <c r="R13" s="126"/>
    </row>
    <row r="14" spans="1:18" s="6" customFormat="1" ht="30.7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>#N/A</f>
        <v>0</v>
      </c>
      <c r="H14" s="35" t="e">
        <f>#N/A</f>
        <v>#DIV/0!</v>
      </c>
      <c r="I14" s="50">
        <f>#N/A</f>
        <v>0</v>
      </c>
      <c r="J14" s="50" t="e">
        <f>#N/A</f>
        <v>#DIV/0!</v>
      </c>
      <c r="K14" s="50"/>
      <c r="L14" s="50"/>
      <c r="M14" s="35">
        <f>#N/A</f>
        <v>0</v>
      </c>
      <c r="N14" s="35">
        <f>#N/A</f>
        <v>0</v>
      </c>
      <c r="O14" s="47">
        <f>#N/A</f>
        <v>0</v>
      </c>
      <c r="P14" s="50" t="e">
        <f>#N/A</f>
        <v>#DIV/0!</v>
      </c>
      <c r="Q14" s="50"/>
      <c r="R14" s="126"/>
    </row>
    <row r="15" spans="1:18" s="6" customFormat="1" ht="30.7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>#N/A</f>
        <v>0</v>
      </c>
      <c r="H15" s="35" t="e">
        <f>#N/A</f>
        <v>#DIV/0!</v>
      </c>
      <c r="I15" s="50">
        <f>#N/A</f>
        <v>0</v>
      </c>
      <c r="J15" s="50"/>
      <c r="K15" s="50"/>
      <c r="L15" s="50"/>
      <c r="M15" s="35">
        <f>#N/A</f>
        <v>0</v>
      </c>
      <c r="N15" s="35">
        <f>#N/A</f>
        <v>0</v>
      </c>
      <c r="O15" s="47">
        <f>#N/A</f>
        <v>0</v>
      </c>
      <c r="P15" s="50" t="e">
        <f>#N/A</f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>#N/A</f>
        <v>0</v>
      </c>
      <c r="H16" s="35" t="e">
        <f>#N/A</f>
        <v>#DIV/0!</v>
      </c>
      <c r="I16" s="50">
        <f>#N/A</f>
        <v>0</v>
      </c>
      <c r="J16" s="50" t="e">
        <f>F16/D16*100</f>
        <v>#DIV/0!</v>
      </c>
      <c r="K16" s="50"/>
      <c r="L16" s="50"/>
      <c r="M16" s="35">
        <f>#N/A</f>
        <v>0</v>
      </c>
      <c r="N16" s="35">
        <f>#N/A</f>
        <v>0</v>
      </c>
      <c r="O16" s="47">
        <f>#N/A</f>
        <v>0</v>
      </c>
      <c r="P16" s="50" t="e">
        <f>#N/A</f>
        <v>#DIV/0!</v>
      </c>
      <c r="Q16" s="50"/>
      <c r="R16" s="126"/>
    </row>
    <row r="17" spans="1:18" s="6" customFormat="1" ht="1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>#N/A</f>
        <v>0</v>
      </c>
      <c r="H17" s="35" t="e">
        <f>#N/A</f>
        <v>#DIV/0!</v>
      </c>
      <c r="I17" s="50">
        <f>#N/A</f>
        <v>0</v>
      </c>
      <c r="J17" s="50" t="e">
        <f>F17/D17*100</f>
        <v>#DIV/0!</v>
      </c>
      <c r="K17" s="50"/>
      <c r="L17" s="50"/>
      <c r="M17" s="35">
        <f>#N/A</f>
        <v>0</v>
      </c>
      <c r="N17" s="35">
        <f>#N/A</f>
        <v>0</v>
      </c>
      <c r="O17" s="47">
        <f>#N/A</f>
        <v>0</v>
      </c>
      <c r="P17" s="50" t="e">
        <f>#N/A</f>
        <v>#DIV/0!</v>
      </c>
      <c r="Q17" s="50"/>
      <c r="R17" s="126"/>
    </row>
    <row r="18" spans="1:18" s="6" customFormat="1" ht="1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>#N/A</f>
        <v>0</v>
      </c>
      <c r="H18" s="35"/>
      <c r="I18" s="50" t="s">
        <v>158</v>
      </c>
      <c r="J18" s="50"/>
      <c r="K18" s="50"/>
      <c r="L18" s="50"/>
      <c r="M18" s="35">
        <f>#N/A</f>
        <v>0</v>
      </c>
      <c r="N18" s="35">
        <f>#N/A</f>
        <v>0</v>
      </c>
      <c r="O18" s="47">
        <f>#N/A</f>
        <v>0</v>
      </c>
      <c r="P18" s="50"/>
      <c r="Q18" s="50"/>
      <c r="R18" s="126"/>
    </row>
    <row r="19" spans="1:18" s="6" customFormat="1" ht="30.7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>#N/A</f>
        <v>-666.34</v>
      </c>
      <c r="H19" s="35">
        <f>#N/A</f>
        <v>-566.34</v>
      </c>
      <c r="I19" s="50">
        <f>#N/A</f>
        <v>-1166.3400000000001</v>
      </c>
      <c r="J19" s="50">
        <f>#N/A</f>
        <v>-94.39</v>
      </c>
      <c r="K19" s="50">
        <f>F19-358.81</f>
        <v>-925.1500000000001</v>
      </c>
      <c r="L19" s="50">
        <f>F19/358.81*100</f>
        <v>-157.83841030071625</v>
      </c>
      <c r="M19" s="35">
        <f>#N/A</f>
        <v>100</v>
      </c>
      <c r="N19" s="35">
        <f>#N/A</f>
        <v>-566.34</v>
      </c>
      <c r="O19" s="47">
        <f>#N/A</f>
        <v>-666.34</v>
      </c>
      <c r="P19" s="50">
        <f>#N/A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0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>#N/A</f>
        <v>0</v>
      </c>
      <c r="H20" s="35" t="e">
        <f>#N/A</f>
        <v>#DIV/0!</v>
      </c>
      <c r="I20" s="50">
        <f>#N/A</f>
        <v>0</v>
      </c>
      <c r="J20" s="50" t="e">
        <f>#N/A</f>
        <v>#DIV/0!</v>
      </c>
      <c r="K20" s="50">
        <f>#N/A</f>
        <v>-194.7</v>
      </c>
      <c r="L20" s="50">
        <f>#N/A</f>
        <v>0</v>
      </c>
      <c r="M20" s="35">
        <f>#N/A</f>
        <v>0</v>
      </c>
      <c r="N20" s="35">
        <f>#N/A</f>
        <v>0</v>
      </c>
      <c r="O20" s="47">
        <f>#N/A</f>
        <v>0</v>
      </c>
      <c r="P20" s="50" t="e">
        <f>#N/A</f>
        <v>#DIV/0!</v>
      </c>
      <c r="Q20" s="50">
        <f>#N/A</f>
        <v>-194.7</v>
      </c>
      <c r="R20" s="126">
        <f>#N/A</f>
        <v>0</v>
      </c>
    </row>
    <row r="21" spans="1:18" s="6" customFormat="1" ht="30.7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>#N/A</f>
        <v>0</v>
      </c>
      <c r="H21" s="35" t="e">
        <f>#N/A</f>
        <v>#DIV/0!</v>
      </c>
      <c r="I21" s="50">
        <f>#N/A</f>
        <v>0</v>
      </c>
      <c r="J21" s="50" t="e">
        <f>#N/A</f>
        <v>#DIV/0!</v>
      </c>
      <c r="K21" s="50">
        <f>#N/A</f>
        <v>-194.7</v>
      </c>
      <c r="L21" s="50">
        <f>#N/A</f>
        <v>0</v>
      </c>
      <c r="M21" s="35">
        <f>#N/A</f>
        <v>0</v>
      </c>
      <c r="N21" s="35">
        <f>#N/A</f>
        <v>0</v>
      </c>
      <c r="O21" s="47">
        <f>#N/A</f>
        <v>0</v>
      </c>
      <c r="P21" s="50" t="e">
        <f>#N/A</f>
        <v>#DIV/0!</v>
      </c>
      <c r="Q21" s="50">
        <f>#N/A</f>
        <v>-194.7</v>
      </c>
      <c r="R21" s="126">
        <f>#N/A</f>
        <v>0</v>
      </c>
    </row>
    <row r="22" spans="1:18" s="6" customFormat="1" ht="46.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>#N/A</f>
        <v>0</v>
      </c>
      <c r="H22" s="35" t="e">
        <f>#N/A</f>
        <v>#DIV/0!</v>
      </c>
      <c r="I22" s="50">
        <f>#N/A</f>
        <v>0</v>
      </c>
      <c r="J22" s="50" t="e">
        <f>#N/A</f>
        <v>#DIV/0!</v>
      </c>
      <c r="K22" s="50">
        <f>#N/A</f>
        <v>-194.7</v>
      </c>
      <c r="L22" s="50">
        <f>#N/A</f>
        <v>0</v>
      </c>
      <c r="M22" s="35">
        <f>#N/A</f>
        <v>0</v>
      </c>
      <c r="N22" s="35">
        <f>#N/A</f>
        <v>0</v>
      </c>
      <c r="O22" s="47">
        <f>#N/A</f>
        <v>0</v>
      </c>
      <c r="P22" s="50" t="e">
        <f>#N/A</f>
        <v>#DIV/0!</v>
      </c>
      <c r="Q22" s="50">
        <f>#N/A</f>
        <v>-194.7</v>
      </c>
      <c r="R22" s="126">
        <f>#N/A</f>
        <v>0</v>
      </c>
    </row>
    <row r="23" spans="1:18" s="6" customFormat="1" ht="61.5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>#N/A</f>
        <v>0</v>
      </c>
      <c r="H23" s="35" t="e">
        <f>#N/A</f>
        <v>#DIV/0!</v>
      </c>
      <c r="I23" s="50">
        <f>#N/A</f>
        <v>0</v>
      </c>
      <c r="J23" s="50" t="e">
        <f>#N/A</f>
        <v>#DIV/0!</v>
      </c>
      <c r="K23" s="50">
        <f>#N/A</f>
        <v>-194.7</v>
      </c>
      <c r="L23" s="50">
        <f>#N/A</f>
        <v>0</v>
      </c>
      <c r="M23" s="35">
        <f>#N/A</f>
        <v>0</v>
      </c>
      <c r="N23" s="35">
        <f>#N/A</f>
        <v>0</v>
      </c>
      <c r="O23" s="47">
        <f>#N/A</f>
        <v>0</v>
      </c>
      <c r="P23" s="50" t="e">
        <f>#N/A</f>
        <v>#DIV/0!</v>
      </c>
      <c r="Q23" s="50">
        <f>#N/A</f>
        <v>-194.7</v>
      </c>
      <c r="R23" s="126">
        <f>#N/A</f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>#N/A</f>
        <v>0</v>
      </c>
      <c r="H24" s="35" t="e">
        <f>#N/A</f>
        <v>#DIV/0!</v>
      </c>
      <c r="I24" s="50">
        <f>#N/A</f>
        <v>0</v>
      </c>
      <c r="J24" s="50" t="e">
        <f>#N/A</f>
        <v>#DIV/0!</v>
      </c>
      <c r="K24" s="50">
        <f>#N/A</f>
        <v>-194.7</v>
      </c>
      <c r="L24" s="50">
        <f>#N/A</f>
        <v>0</v>
      </c>
      <c r="M24" s="35">
        <f>#N/A</f>
        <v>0</v>
      </c>
      <c r="N24" s="35">
        <f>#N/A</f>
        <v>0</v>
      </c>
      <c r="O24" s="47">
        <f>#N/A</f>
        <v>0</v>
      </c>
      <c r="P24" s="50" t="e">
        <f>#N/A</f>
        <v>#DIV/0!</v>
      </c>
      <c r="Q24" s="50">
        <f>#N/A</f>
        <v>-194.7</v>
      </c>
      <c r="R24" s="126">
        <f>#N/A</f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>#N/A</f>
        <v>0</v>
      </c>
      <c r="H25" s="35" t="e">
        <f>#N/A</f>
        <v>#DIV/0!</v>
      </c>
      <c r="I25" s="50">
        <f>#N/A</f>
        <v>0</v>
      </c>
      <c r="J25" s="50" t="e">
        <f>#N/A</f>
        <v>#DIV/0!</v>
      </c>
      <c r="K25" s="50">
        <f>#N/A</f>
        <v>-194.7</v>
      </c>
      <c r="L25" s="50">
        <f>#N/A</f>
        <v>0</v>
      </c>
      <c r="M25" s="35">
        <f>#N/A</f>
        <v>0</v>
      </c>
      <c r="N25" s="35">
        <f>#N/A</f>
        <v>0</v>
      </c>
      <c r="O25" s="47">
        <f>#N/A</f>
        <v>0</v>
      </c>
      <c r="P25" s="50" t="e">
        <f>#N/A</f>
        <v>#DIV/0!</v>
      </c>
      <c r="Q25" s="50">
        <f>#N/A</f>
        <v>-194.7</v>
      </c>
      <c r="R25" s="126">
        <f>#N/A</f>
        <v>0</v>
      </c>
    </row>
    <row r="26" spans="1:18" s="6" customFormat="1" ht="46.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>#N/A</f>
        <v>0</v>
      </c>
      <c r="H26" s="35" t="e">
        <f>#N/A</f>
        <v>#DIV/0!</v>
      </c>
      <c r="I26" s="50">
        <f>#N/A</f>
        <v>0</v>
      </c>
      <c r="J26" s="50" t="e">
        <f>#N/A</f>
        <v>#DIV/0!</v>
      </c>
      <c r="K26" s="50">
        <f>#N/A</f>
        <v>-194.7</v>
      </c>
      <c r="L26" s="50">
        <f>#N/A</f>
        <v>0</v>
      </c>
      <c r="M26" s="35">
        <f>#N/A</f>
        <v>0</v>
      </c>
      <c r="N26" s="35">
        <f>#N/A</f>
        <v>0</v>
      </c>
      <c r="O26" s="47">
        <f>#N/A</f>
        <v>0</v>
      </c>
      <c r="P26" s="50" t="e">
        <f>#N/A</f>
        <v>#DIV/0!</v>
      </c>
      <c r="Q26" s="50">
        <f>#N/A</f>
        <v>-194.7</v>
      </c>
      <c r="R26" s="126">
        <f>#N/A</f>
        <v>0</v>
      </c>
    </row>
    <row r="27" spans="1:18" s="6" customFormat="1" ht="61.5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>#N/A</f>
        <v>0</v>
      </c>
      <c r="H27" s="35" t="e">
        <f>#N/A</f>
        <v>#DIV/0!</v>
      </c>
      <c r="I27" s="50">
        <f>#N/A</f>
        <v>0</v>
      </c>
      <c r="J27" s="50" t="e">
        <f>#N/A</f>
        <v>#DIV/0!</v>
      </c>
      <c r="K27" s="50">
        <f>#N/A</f>
        <v>-194.7</v>
      </c>
      <c r="L27" s="50">
        <f>#N/A</f>
        <v>0</v>
      </c>
      <c r="M27" s="35">
        <f>#N/A</f>
        <v>0</v>
      </c>
      <c r="N27" s="35">
        <f>#N/A</f>
        <v>0</v>
      </c>
      <c r="O27" s="47">
        <f>#N/A</f>
        <v>0</v>
      </c>
      <c r="P27" s="50" t="e">
        <f>#N/A</f>
        <v>#DIV/0!</v>
      </c>
      <c r="Q27" s="50">
        <f>#N/A</f>
        <v>-194.7</v>
      </c>
      <c r="R27" s="126">
        <f>#N/A</f>
        <v>0</v>
      </c>
    </row>
    <row r="28" spans="1:18" s="6" customFormat="1" ht="1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>#N/A</f>
        <v>0</v>
      </c>
      <c r="H28" s="35" t="e">
        <f>#N/A</f>
        <v>#DIV/0!</v>
      </c>
      <c r="I28" s="50">
        <f>#N/A</f>
        <v>0</v>
      </c>
      <c r="J28" s="50" t="e">
        <f>#N/A</f>
        <v>#DIV/0!</v>
      </c>
      <c r="K28" s="50">
        <f>#N/A</f>
        <v>-194.7</v>
      </c>
      <c r="L28" s="50">
        <f>#N/A</f>
        <v>0</v>
      </c>
      <c r="M28" s="35">
        <f>#N/A</f>
        <v>0</v>
      </c>
      <c r="N28" s="35">
        <f>#N/A</f>
        <v>0</v>
      </c>
      <c r="O28" s="47">
        <f>#N/A</f>
        <v>0</v>
      </c>
      <c r="P28" s="50" t="e">
        <f>#N/A</f>
        <v>#DIV/0!</v>
      </c>
      <c r="Q28" s="50">
        <f>#N/A</f>
        <v>-194.7</v>
      </c>
      <c r="R28" s="126">
        <f>#N/A</f>
        <v>0</v>
      </c>
    </row>
    <row r="29" spans="1:18" s="6" customFormat="1" ht="1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>#N/A</f>
        <v>-538.35</v>
      </c>
      <c r="H29" s="35">
        <f>#N/A</f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>#N/A</f>
        <v>100</v>
      </c>
      <c r="N29" s="35">
        <f>#N/A</f>
        <v>-438.35</v>
      </c>
      <c r="O29" s="47">
        <f>#N/A</f>
        <v>-538.35</v>
      </c>
      <c r="P29" s="50">
        <f>#N/A</f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>#N/A</f>
        <v>0.12</v>
      </c>
      <c r="H30" s="35"/>
      <c r="I30" s="50"/>
      <c r="J30" s="50"/>
      <c r="K30" s="50">
        <f>F30-0</f>
        <v>0.12</v>
      </c>
      <c r="L30" s="50"/>
      <c r="M30" s="35">
        <f>#N/A</f>
        <v>0</v>
      </c>
      <c r="N30" s="35">
        <f>#N/A</f>
        <v>0.12</v>
      </c>
      <c r="O30" s="47">
        <f>#N/A</f>
        <v>0.12</v>
      </c>
      <c r="P30" s="50"/>
      <c r="Q30" s="50"/>
      <c r="R30" s="126"/>
    </row>
    <row r="31" spans="1:18" s="6" customFormat="1" ht="46.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>#N/A</f>
        <v>0</v>
      </c>
      <c r="N31" s="35">
        <f>#N/A</f>
        <v>0</v>
      </c>
      <c r="O31" s="47">
        <f>#N/A</f>
        <v>0</v>
      </c>
      <c r="P31" s="50" t="e">
        <f>N31/M31*100</f>
        <v>#DIV/0!</v>
      </c>
      <c r="Q31" s="50"/>
      <c r="R31" s="126"/>
    </row>
    <row r="32" spans="1:18" s="6" customFormat="1" ht="30.7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>#N/A</f>
        <v>0</v>
      </c>
      <c r="N32" s="35">
        <f>#N/A</f>
        <v>0</v>
      </c>
      <c r="O32" s="47">
        <f>#N/A</f>
        <v>0</v>
      </c>
      <c r="P32" s="50"/>
      <c r="Q32" s="50"/>
      <c r="R32" s="126"/>
    </row>
    <row r="33" spans="1:18" s="6" customFormat="1" ht="1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>#N/A</f>
        <v>-181.98999999999978</v>
      </c>
      <c r="H33" s="35">
        <f>#N/A</f>
        <v>97.27559880239521</v>
      </c>
      <c r="I33" s="50">
        <f>F33-D33</f>
        <v>-35081.99</v>
      </c>
      <c r="J33" s="50">
        <f>#N/A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>#N/A</f>
        <v>6680</v>
      </c>
      <c r="N33" s="35">
        <f>#N/A</f>
        <v>6498.01</v>
      </c>
      <c r="O33" s="47">
        <f>#N/A</f>
        <v>-181.98999999999978</v>
      </c>
      <c r="P33" s="50">
        <f>#N/A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>#N/A</f>
        <v>0</v>
      </c>
      <c r="H34" s="35" t="e">
        <f>#N/A</f>
        <v>#DIV/0!</v>
      </c>
      <c r="I34" s="50">
        <f>#N/A</f>
        <v>0</v>
      </c>
      <c r="J34" s="50" t="e">
        <f>#N/A</f>
        <v>#DIV/0!</v>
      </c>
      <c r="K34" s="50">
        <f>#N/A</f>
        <v>-6172.8</v>
      </c>
      <c r="L34" s="50">
        <f>#N/A</f>
        <v>0</v>
      </c>
      <c r="M34" s="35">
        <f>#N/A</f>
        <v>0</v>
      </c>
      <c r="N34" s="35">
        <f>#N/A</f>
        <v>0</v>
      </c>
      <c r="O34" s="47">
        <f>#N/A</f>
        <v>0</v>
      </c>
      <c r="P34" s="50" t="e">
        <f>#N/A</f>
        <v>#DIV/0!</v>
      </c>
      <c r="Q34" s="132">
        <f>#N/A</f>
        <v>-6172.8</v>
      </c>
      <c r="R34" s="133">
        <f>#N/A</f>
        <v>0</v>
      </c>
    </row>
    <row r="35" spans="1:18" s="6" customFormat="1" ht="1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>#N/A</f>
        <v>0</v>
      </c>
      <c r="H35" s="35" t="e">
        <f>#N/A</f>
        <v>#DIV/0!</v>
      </c>
      <c r="I35" s="50">
        <f>#N/A</f>
        <v>0</v>
      </c>
      <c r="J35" s="50" t="e">
        <f>#N/A</f>
        <v>#DIV/0!</v>
      </c>
      <c r="K35" s="50">
        <f>#N/A</f>
        <v>-6172.8</v>
      </c>
      <c r="L35" s="50">
        <f>#N/A</f>
        <v>0</v>
      </c>
      <c r="M35" s="35">
        <f>#N/A</f>
        <v>0</v>
      </c>
      <c r="N35" s="35">
        <f>#N/A</f>
        <v>0</v>
      </c>
      <c r="O35" s="47">
        <f>#N/A</f>
        <v>0</v>
      </c>
      <c r="P35" s="50" t="e">
        <f>#N/A</f>
        <v>#DIV/0!</v>
      </c>
      <c r="Q35" s="132">
        <f>#N/A</f>
        <v>-6172.8</v>
      </c>
      <c r="R35" s="133">
        <f>#N/A</f>
        <v>0</v>
      </c>
    </row>
    <row r="36" spans="1:18" s="6" customFormat="1" ht="1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>#N/A</f>
        <v>0</v>
      </c>
      <c r="H36" s="35" t="e">
        <f>#N/A</f>
        <v>#DIV/0!</v>
      </c>
      <c r="I36" s="50">
        <f>#N/A</f>
        <v>0</v>
      </c>
      <c r="J36" s="50" t="e">
        <f>#N/A</f>
        <v>#DIV/0!</v>
      </c>
      <c r="K36" s="50">
        <f>#N/A</f>
        <v>-6172.8</v>
      </c>
      <c r="L36" s="50">
        <f>#N/A</f>
        <v>0</v>
      </c>
      <c r="M36" s="35">
        <f>#N/A</f>
        <v>0</v>
      </c>
      <c r="N36" s="35">
        <f>#N/A</f>
        <v>0</v>
      </c>
      <c r="O36" s="47">
        <f>#N/A</f>
        <v>0</v>
      </c>
      <c r="P36" s="50" t="e">
        <f>#N/A</f>
        <v>#DIV/0!</v>
      </c>
      <c r="Q36" s="132">
        <f>#N/A</f>
        <v>-6172.8</v>
      </c>
      <c r="R36" s="133">
        <f>#N/A</f>
        <v>0</v>
      </c>
    </row>
    <row r="37" spans="1:18" s="6" customFormat="1" ht="1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>#N/A</f>
        <v>0</v>
      </c>
      <c r="H37" s="35" t="e">
        <f>#N/A</f>
        <v>#DIV/0!</v>
      </c>
      <c r="I37" s="50">
        <f>#N/A</f>
        <v>0</v>
      </c>
      <c r="J37" s="50" t="e">
        <f>#N/A</f>
        <v>#DIV/0!</v>
      </c>
      <c r="K37" s="50">
        <f>#N/A</f>
        <v>-6172.8</v>
      </c>
      <c r="L37" s="50">
        <f>#N/A</f>
        <v>0</v>
      </c>
      <c r="M37" s="35">
        <f>#N/A</f>
        <v>0</v>
      </c>
      <c r="N37" s="35">
        <f>#N/A</f>
        <v>0</v>
      </c>
      <c r="O37" s="47">
        <f>#N/A</f>
        <v>0</v>
      </c>
      <c r="P37" s="50" t="e">
        <f>#N/A</f>
        <v>#DIV/0!</v>
      </c>
      <c r="Q37" s="132">
        <f>#N/A</f>
        <v>-6172.8</v>
      </c>
      <c r="R37" s="133">
        <f>#N/A</f>
        <v>0</v>
      </c>
    </row>
    <row r="38" spans="1:18" s="6" customFormat="1" ht="1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>#N/A</f>
        <v>0</v>
      </c>
      <c r="H38" s="35" t="e">
        <f>#N/A</f>
        <v>#DIV/0!</v>
      </c>
      <c r="I38" s="50">
        <f>#N/A</f>
        <v>0</v>
      </c>
      <c r="J38" s="50" t="e">
        <f>#N/A</f>
        <v>#DIV/0!</v>
      </c>
      <c r="K38" s="50">
        <f>#N/A</f>
        <v>-6172.8</v>
      </c>
      <c r="L38" s="50">
        <f>#N/A</f>
        <v>0</v>
      </c>
      <c r="M38" s="35">
        <f>#N/A</f>
        <v>0</v>
      </c>
      <c r="N38" s="35">
        <f>#N/A</f>
        <v>0</v>
      </c>
      <c r="O38" s="47">
        <f>#N/A</f>
        <v>0</v>
      </c>
      <c r="P38" s="50" t="e">
        <f>#N/A</f>
        <v>#DIV/0!</v>
      </c>
      <c r="Q38" s="132">
        <f>#N/A</f>
        <v>-6172.8</v>
      </c>
      <c r="R38" s="133">
        <f>#N/A</f>
        <v>0</v>
      </c>
    </row>
    <row r="39" spans="1:18" s="6" customFormat="1" ht="30.7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>#N/A</f>
        <v>0</v>
      </c>
      <c r="H39" s="35" t="e">
        <f>#N/A</f>
        <v>#DIV/0!</v>
      </c>
      <c r="I39" s="50">
        <f>#N/A</f>
        <v>0</v>
      </c>
      <c r="J39" s="50" t="e">
        <f>#N/A</f>
        <v>#DIV/0!</v>
      </c>
      <c r="K39" s="50">
        <f>#N/A</f>
        <v>-6172.8</v>
      </c>
      <c r="L39" s="50">
        <f>#N/A</f>
        <v>0</v>
      </c>
      <c r="M39" s="35">
        <f>#N/A</f>
        <v>0</v>
      </c>
      <c r="N39" s="35">
        <f>#N/A</f>
        <v>0</v>
      </c>
      <c r="O39" s="47">
        <f>#N/A</f>
        <v>0</v>
      </c>
      <c r="P39" s="50" t="e">
        <f>#N/A</f>
        <v>#DIV/0!</v>
      </c>
      <c r="Q39" s="132">
        <f>#N/A</f>
        <v>-6172.8</v>
      </c>
      <c r="R39" s="133">
        <f>#N/A</f>
        <v>0</v>
      </c>
    </row>
    <row r="40" spans="1:18" s="6" customFormat="1" ht="1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>#N/A</f>
        <v>0</v>
      </c>
      <c r="H40" s="35" t="e">
        <f>#N/A</f>
        <v>#DIV/0!</v>
      </c>
      <c r="I40" s="50">
        <f>#N/A</f>
        <v>0</v>
      </c>
      <c r="J40" s="50" t="e">
        <f>#N/A</f>
        <v>#DIV/0!</v>
      </c>
      <c r="K40" s="50">
        <f>#N/A</f>
        <v>-6172.8</v>
      </c>
      <c r="L40" s="50">
        <f>#N/A</f>
        <v>0</v>
      </c>
      <c r="M40" s="35">
        <f>#N/A</f>
        <v>0</v>
      </c>
      <c r="N40" s="35">
        <f>#N/A</f>
        <v>0</v>
      </c>
      <c r="O40" s="47">
        <f>#N/A</f>
        <v>0</v>
      </c>
      <c r="P40" s="50" t="e">
        <f>#N/A</f>
        <v>#DIV/0!</v>
      </c>
      <c r="Q40" s="132">
        <f>#N/A</f>
        <v>-6172.8</v>
      </c>
      <c r="R40" s="133">
        <f>#N/A</f>
        <v>0</v>
      </c>
    </row>
    <row r="41" spans="1:18" s="6" customFormat="1" ht="1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>#N/A</f>
        <v>0</v>
      </c>
      <c r="H41" s="35" t="e">
        <f>#N/A</f>
        <v>#DIV/0!</v>
      </c>
      <c r="I41" s="50">
        <f>#N/A</f>
        <v>0</v>
      </c>
      <c r="J41" s="50" t="e">
        <f>#N/A</f>
        <v>#DIV/0!</v>
      </c>
      <c r="K41" s="50">
        <f>#N/A</f>
        <v>-6172.8</v>
      </c>
      <c r="L41" s="50">
        <f>#N/A</f>
        <v>0</v>
      </c>
      <c r="M41" s="35">
        <f>#N/A</f>
        <v>0</v>
      </c>
      <c r="N41" s="35">
        <f>#N/A</f>
        <v>0</v>
      </c>
      <c r="O41" s="47">
        <f>#N/A</f>
        <v>0</v>
      </c>
      <c r="P41" s="50" t="e">
        <f>#N/A</f>
        <v>#DIV/0!</v>
      </c>
      <c r="Q41" s="132">
        <f>#N/A</f>
        <v>-6172.8</v>
      </c>
      <c r="R41" s="133">
        <f>#N/A</f>
        <v>0</v>
      </c>
    </row>
    <row r="42" spans="1:18" s="6" customFormat="1" ht="1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>#N/A</f>
        <v>0</v>
      </c>
      <c r="H42" s="35" t="e">
        <f>#N/A</f>
        <v>#DIV/0!</v>
      </c>
      <c r="I42" s="50">
        <f>#N/A</f>
        <v>0</v>
      </c>
      <c r="J42" s="50" t="e">
        <f>#N/A</f>
        <v>#DIV/0!</v>
      </c>
      <c r="K42" s="50">
        <f>#N/A</f>
        <v>-6172.8</v>
      </c>
      <c r="L42" s="50">
        <f>#N/A</f>
        <v>0</v>
      </c>
      <c r="M42" s="35">
        <f>#N/A</f>
        <v>0</v>
      </c>
      <c r="N42" s="35">
        <f>#N/A</f>
        <v>0</v>
      </c>
      <c r="O42" s="47">
        <f>#N/A</f>
        <v>0</v>
      </c>
      <c r="P42" s="50" t="e">
        <f>#N/A</f>
        <v>#DIV/0!</v>
      </c>
      <c r="Q42" s="132">
        <f>#N/A</f>
        <v>-6172.8</v>
      </c>
      <c r="R42" s="133">
        <f>#N/A</f>
        <v>0</v>
      </c>
    </row>
    <row r="43" spans="1:18" s="6" customFormat="1" ht="1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>#N/A</f>
        <v>0</v>
      </c>
      <c r="H43" s="35" t="e">
        <f>#N/A</f>
        <v>#DIV/0!</v>
      </c>
      <c r="I43" s="50">
        <f>#N/A</f>
        <v>0</v>
      </c>
      <c r="J43" s="50" t="e">
        <f>#N/A</f>
        <v>#DIV/0!</v>
      </c>
      <c r="K43" s="50">
        <f>#N/A</f>
        <v>-6172.8</v>
      </c>
      <c r="L43" s="50">
        <f>#N/A</f>
        <v>0</v>
      </c>
      <c r="M43" s="35">
        <f>#N/A</f>
        <v>0</v>
      </c>
      <c r="N43" s="35">
        <f>#N/A</f>
        <v>0</v>
      </c>
      <c r="O43" s="47">
        <f>#N/A</f>
        <v>0</v>
      </c>
      <c r="P43" s="50" t="e">
        <f>#N/A</f>
        <v>#DIV/0!</v>
      </c>
      <c r="Q43" s="132">
        <f>#N/A</f>
        <v>-6172.8</v>
      </c>
      <c r="R43" s="133">
        <f>#N/A</f>
        <v>0</v>
      </c>
    </row>
    <row r="44" spans="1:18" s="6" customFormat="1" ht="1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>#N/A</f>
        <v>0</v>
      </c>
      <c r="H44" s="35" t="e">
        <f>#N/A</f>
        <v>#DIV/0!</v>
      </c>
      <c r="I44" s="50">
        <f>#N/A</f>
        <v>0</v>
      </c>
      <c r="J44" s="50" t="e">
        <f>#N/A</f>
        <v>#DIV/0!</v>
      </c>
      <c r="K44" s="50">
        <f>#N/A</f>
        <v>-6172.8</v>
      </c>
      <c r="L44" s="50">
        <f>#N/A</f>
        <v>0</v>
      </c>
      <c r="M44" s="35">
        <f>#N/A</f>
        <v>0</v>
      </c>
      <c r="N44" s="35">
        <f>#N/A</f>
        <v>0</v>
      </c>
      <c r="O44" s="47">
        <f>#N/A</f>
        <v>0</v>
      </c>
      <c r="P44" s="50" t="e">
        <f>#N/A</f>
        <v>#DIV/0!</v>
      </c>
      <c r="Q44" s="132">
        <f>#N/A</f>
        <v>-6172.8</v>
      </c>
      <c r="R44" s="133">
        <f>#N/A</f>
        <v>0</v>
      </c>
    </row>
    <row r="45" spans="1:18" s="6" customFormat="1" ht="1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>#N/A</f>
        <v>0</v>
      </c>
      <c r="H45" s="35" t="e">
        <f>#N/A</f>
        <v>#DIV/0!</v>
      </c>
      <c r="I45" s="50">
        <f>#N/A</f>
        <v>0</v>
      </c>
      <c r="J45" s="50" t="e">
        <f>#N/A</f>
        <v>#DIV/0!</v>
      </c>
      <c r="K45" s="50">
        <f>#N/A</f>
        <v>-6172.8</v>
      </c>
      <c r="L45" s="50">
        <f>#N/A</f>
        <v>0</v>
      </c>
      <c r="M45" s="35">
        <f>#N/A</f>
        <v>0</v>
      </c>
      <c r="N45" s="35">
        <f>#N/A</f>
        <v>0</v>
      </c>
      <c r="O45" s="47">
        <f>#N/A</f>
        <v>0</v>
      </c>
      <c r="P45" s="50" t="e">
        <f>#N/A</f>
        <v>#DIV/0!</v>
      </c>
      <c r="Q45" s="132">
        <f>#N/A</f>
        <v>-6172.8</v>
      </c>
      <c r="R45" s="133">
        <f>#N/A</f>
        <v>0</v>
      </c>
    </row>
    <row r="46" spans="1:18" s="6" customFormat="1" ht="1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>#N/A</f>
        <v>0</v>
      </c>
      <c r="H46" s="35" t="e">
        <f>#N/A</f>
        <v>#DIV/0!</v>
      </c>
      <c r="I46" s="50">
        <f>#N/A</f>
        <v>0</v>
      </c>
      <c r="J46" s="50" t="e">
        <f>#N/A</f>
        <v>#DIV/0!</v>
      </c>
      <c r="K46" s="50">
        <f>#N/A</f>
        <v>-6172.8</v>
      </c>
      <c r="L46" s="50">
        <f>#N/A</f>
        <v>0</v>
      </c>
      <c r="M46" s="35">
        <f>#N/A</f>
        <v>0</v>
      </c>
      <c r="N46" s="35">
        <f>#N/A</f>
        <v>0</v>
      </c>
      <c r="O46" s="47">
        <f>#N/A</f>
        <v>0</v>
      </c>
      <c r="P46" s="50" t="e">
        <f>#N/A</f>
        <v>#DIV/0!</v>
      </c>
      <c r="Q46" s="132">
        <f>#N/A</f>
        <v>-6172.8</v>
      </c>
      <c r="R46" s="133">
        <f>#N/A</f>
        <v>0</v>
      </c>
    </row>
    <row r="47" spans="1:18" s="6" customFormat="1" ht="1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>#N/A</f>
        <v>0</v>
      </c>
      <c r="H47" s="35" t="e">
        <f>#N/A</f>
        <v>#DIV/0!</v>
      </c>
      <c r="I47" s="50">
        <f>#N/A</f>
        <v>0</v>
      </c>
      <c r="J47" s="50" t="e">
        <f>#N/A</f>
        <v>#DIV/0!</v>
      </c>
      <c r="K47" s="50">
        <f>#N/A</f>
        <v>-6172.8</v>
      </c>
      <c r="L47" s="50">
        <f>#N/A</f>
        <v>0</v>
      </c>
      <c r="M47" s="35">
        <f>#N/A</f>
        <v>0</v>
      </c>
      <c r="N47" s="35">
        <f>#N/A</f>
        <v>0</v>
      </c>
      <c r="O47" s="47">
        <f>#N/A</f>
        <v>0</v>
      </c>
      <c r="P47" s="50" t="e">
        <f>#N/A</f>
        <v>#DIV/0!</v>
      </c>
      <c r="Q47" s="132">
        <f>#N/A</f>
        <v>-6172.8</v>
      </c>
      <c r="R47" s="133">
        <f>#N/A</f>
        <v>0</v>
      </c>
    </row>
    <row r="48" spans="1:18" s="6" customFormat="1" ht="1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>#N/A</f>
        <v>0</v>
      </c>
      <c r="H48" s="35" t="e">
        <f>#N/A</f>
        <v>#DIV/0!</v>
      </c>
      <c r="I48" s="50">
        <f>#N/A</f>
        <v>0</v>
      </c>
      <c r="J48" s="50" t="e">
        <f>#N/A</f>
        <v>#DIV/0!</v>
      </c>
      <c r="K48" s="50">
        <f>#N/A</f>
        <v>-6172.8</v>
      </c>
      <c r="L48" s="50">
        <f>#N/A</f>
        <v>0</v>
      </c>
      <c r="M48" s="35">
        <f>#N/A</f>
        <v>0</v>
      </c>
      <c r="N48" s="35">
        <f>#N/A</f>
        <v>0</v>
      </c>
      <c r="O48" s="47">
        <f>#N/A</f>
        <v>0</v>
      </c>
      <c r="P48" s="50" t="e">
        <f>#N/A</f>
        <v>#DIV/0!</v>
      </c>
      <c r="Q48" s="132">
        <f>#N/A</f>
        <v>-6172.8</v>
      </c>
      <c r="R48" s="133">
        <f>#N/A</f>
        <v>0</v>
      </c>
    </row>
    <row r="49" spans="1:18" s="6" customFormat="1" ht="30.7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>#N/A</f>
        <v>0</v>
      </c>
      <c r="H49" s="35" t="e">
        <f>#N/A</f>
        <v>#DIV/0!</v>
      </c>
      <c r="I49" s="50">
        <f>#N/A</f>
        <v>0</v>
      </c>
      <c r="J49" s="50" t="e">
        <f>#N/A</f>
        <v>#DIV/0!</v>
      </c>
      <c r="K49" s="50">
        <f>#N/A</f>
        <v>-6172.8</v>
      </c>
      <c r="L49" s="50">
        <f>#N/A</f>
        <v>0</v>
      </c>
      <c r="M49" s="35">
        <f>#N/A</f>
        <v>0</v>
      </c>
      <c r="N49" s="35">
        <f>#N/A</f>
        <v>0</v>
      </c>
      <c r="O49" s="47">
        <f>#N/A</f>
        <v>0</v>
      </c>
      <c r="P49" s="50" t="e">
        <f>#N/A</f>
        <v>#DIV/0!</v>
      </c>
      <c r="Q49" s="132">
        <f>#N/A</f>
        <v>-6172.8</v>
      </c>
      <c r="R49" s="133">
        <f>#N/A</f>
        <v>0</v>
      </c>
    </row>
    <row r="50" spans="1:18" s="6" customFormat="1" ht="30.7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>#N/A</f>
        <v>0</v>
      </c>
      <c r="H50" s="35" t="e">
        <f>#N/A</f>
        <v>#DIV/0!</v>
      </c>
      <c r="I50" s="50">
        <f>#N/A</f>
        <v>0</v>
      </c>
      <c r="J50" s="50" t="e">
        <f>#N/A</f>
        <v>#DIV/0!</v>
      </c>
      <c r="K50" s="50">
        <f>#N/A</f>
        <v>-6172.8</v>
      </c>
      <c r="L50" s="50">
        <f>#N/A</f>
        <v>0</v>
      </c>
      <c r="M50" s="35">
        <f>#N/A</f>
        <v>0</v>
      </c>
      <c r="N50" s="35">
        <f>#N/A</f>
        <v>0</v>
      </c>
      <c r="O50" s="47">
        <f>#N/A</f>
        <v>0</v>
      </c>
      <c r="P50" s="50" t="e">
        <f>#N/A</f>
        <v>#DIV/0!</v>
      </c>
      <c r="Q50" s="132">
        <f>#N/A</f>
        <v>-6172.8</v>
      </c>
      <c r="R50" s="133">
        <f>#N/A</f>
        <v>0</v>
      </c>
    </row>
    <row r="51" spans="1:18" s="6" customFormat="1" ht="1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>#N/A</f>
        <v>0</v>
      </c>
      <c r="H51" s="35" t="e">
        <f>#N/A</f>
        <v>#DIV/0!</v>
      </c>
      <c r="I51" s="50">
        <f>#N/A</f>
        <v>0</v>
      </c>
      <c r="J51" s="50" t="e">
        <f>#N/A</f>
        <v>#DIV/0!</v>
      </c>
      <c r="K51" s="50">
        <f>#N/A</f>
        <v>-6172.8</v>
      </c>
      <c r="L51" s="50">
        <f>#N/A</f>
        <v>0</v>
      </c>
      <c r="M51" s="35">
        <f>#N/A</f>
        <v>0</v>
      </c>
      <c r="N51" s="35">
        <f>#N/A</f>
        <v>0</v>
      </c>
      <c r="O51" s="47">
        <f>#N/A</f>
        <v>0</v>
      </c>
      <c r="P51" s="50" t="e">
        <f>#N/A</f>
        <v>#DIV/0!</v>
      </c>
      <c r="Q51" s="132">
        <f>#N/A</f>
        <v>-6172.8</v>
      </c>
      <c r="R51" s="133">
        <f>#N/A</f>
        <v>0</v>
      </c>
    </row>
    <row r="52" spans="1:18" s="6" customFormat="1" ht="1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>#N/A</f>
        <v>0</v>
      </c>
      <c r="H52" s="35" t="e">
        <f>#N/A</f>
        <v>#DIV/0!</v>
      </c>
      <c r="I52" s="50">
        <f>#N/A</f>
        <v>0</v>
      </c>
      <c r="J52" s="50" t="e">
        <f>#N/A</f>
        <v>#DIV/0!</v>
      </c>
      <c r="K52" s="50">
        <f>#N/A</f>
        <v>-6172.8</v>
      </c>
      <c r="L52" s="50">
        <f>#N/A</f>
        <v>0</v>
      </c>
      <c r="M52" s="35">
        <f>#N/A</f>
        <v>0</v>
      </c>
      <c r="N52" s="35">
        <f>#N/A</f>
        <v>0</v>
      </c>
      <c r="O52" s="47">
        <f>#N/A</f>
        <v>0</v>
      </c>
      <c r="P52" s="50" t="e">
        <f>#N/A</f>
        <v>#DIV/0!</v>
      </c>
      <c r="Q52" s="132">
        <f>#N/A</f>
        <v>-6172.8</v>
      </c>
      <c r="R52" s="133">
        <f>#N/A</f>
        <v>0</v>
      </c>
    </row>
    <row r="53" spans="1:18" s="6" customFormat="1" ht="1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>#N/A</f>
        <v>0</v>
      </c>
      <c r="H53" s="35" t="e">
        <f>#N/A</f>
        <v>#DIV/0!</v>
      </c>
      <c r="I53" s="50">
        <f>#N/A</f>
        <v>0</v>
      </c>
      <c r="J53" s="50" t="e">
        <f>#N/A</f>
        <v>#DIV/0!</v>
      </c>
      <c r="K53" s="50">
        <f>#N/A</f>
        <v>-6172.8</v>
      </c>
      <c r="L53" s="50">
        <f>#N/A</f>
        <v>0</v>
      </c>
      <c r="M53" s="35">
        <f>#N/A</f>
        <v>0</v>
      </c>
      <c r="N53" s="35">
        <f>#N/A</f>
        <v>0</v>
      </c>
      <c r="O53" s="47">
        <f>#N/A</f>
        <v>0</v>
      </c>
      <c r="P53" s="50" t="e">
        <f>#N/A</f>
        <v>#DIV/0!</v>
      </c>
      <c r="Q53" s="132">
        <f>#N/A</f>
        <v>-6172.8</v>
      </c>
      <c r="R53" s="133">
        <f>#N/A</f>
        <v>0</v>
      </c>
    </row>
    <row r="54" spans="1:18" s="6" customFormat="1" ht="1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>#N/A</f>
        <v>0</v>
      </c>
      <c r="H54" s="35" t="e">
        <f>#N/A</f>
        <v>#DIV/0!</v>
      </c>
      <c r="I54" s="50">
        <f>#N/A</f>
        <v>0</v>
      </c>
      <c r="J54" s="50" t="e">
        <f>#N/A</f>
        <v>#DIV/0!</v>
      </c>
      <c r="K54" s="50">
        <f>#N/A</f>
        <v>-6172.8</v>
      </c>
      <c r="L54" s="50">
        <f>#N/A</f>
        <v>0</v>
      </c>
      <c r="M54" s="35">
        <f>#N/A</f>
        <v>0</v>
      </c>
      <c r="N54" s="35">
        <f>#N/A</f>
        <v>0</v>
      </c>
      <c r="O54" s="47">
        <f>#N/A</f>
        <v>0</v>
      </c>
      <c r="P54" s="50" t="e">
        <f>#N/A</f>
        <v>#DIV/0!</v>
      </c>
      <c r="Q54" s="132">
        <f>#N/A</f>
        <v>-6172.8</v>
      </c>
      <c r="R54" s="133">
        <f>#N/A</f>
        <v>0</v>
      </c>
    </row>
    <row r="55" spans="1:18" s="6" customFormat="1" ht="1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>#N/A</f>
        <v>-254.0600000000004</v>
      </c>
      <c r="H55" s="137">
        <f>#N/A</f>
        <v>95.1607619047619</v>
      </c>
      <c r="I55" s="136">
        <f>#N/A</f>
        <v>-26604.06</v>
      </c>
      <c r="J55" s="136">
        <f>#N/A</f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>#N/A</f>
        <v>5250</v>
      </c>
      <c r="N55" s="137">
        <f>#N/A</f>
        <v>4995.94</v>
      </c>
      <c r="O55" s="138">
        <f>#N/A</f>
        <v>-254.0600000000004</v>
      </c>
      <c r="P55" s="136">
        <f>#N/A</f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>#N/A</f>
        <v>-407.89</v>
      </c>
      <c r="H56" s="35">
        <f>#N/A</f>
        <v>26.240506329113927</v>
      </c>
      <c r="I56" s="50">
        <f>#N/A</f>
        <v>-3481.89</v>
      </c>
      <c r="J56" s="50">
        <f>#N/A</f>
        <v>4.000827129859388</v>
      </c>
      <c r="K56" s="50">
        <f>F56-527.8</f>
        <v>-382.68999999999994</v>
      </c>
      <c r="L56" s="50">
        <f>F56/527.8*100</f>
        <v>27.493368700265258</v>
      </c>
      <c r="M56" s="35">
        <f>#N/A</f>
        <v>553</v>
      </c>
      <c r="N56" s="35">
        <f>#N/A</f>
        <v>145.11</v>
      </c>
      <c r="O56" s="47">
        <f>#N/A</f>
        <v>-407.89</v>
      </c>
      <c r="P56" s="50">
        <f>#N/A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>#N/A</f>
        <v>0</v>
      </c>
      <c r="H57" s="35" t="e">
        <f>#N/A</f>
        <v>#DIV/0!</v>
      </c>
      <c r="I57" s="50">
        <f>#N/A</f>
        <v>0</v>
      </c>
      <c r="J57" s="50" t="e">
        <f>#N/A</f>
        <v>#DIV/0!</v>
      </c>
      <c r="K57" s="50"/>
      <c r="L57" s="50">
        <f>#N/A</f>
        <v>0</v>
      </c>
      <c r="M57" s="35">
        <f>#N/A</f>
        <v>0</v>
      </c>
      <c r="N57" s="35">
        <f>#N/A</f>
        <v>0</v>
      </c>
      <c r="O57" s="47">
        <f>#N/A</f>
        <v>0</v>
      </c>
      <c r="P57" s="50" t="e">
        <f>#N/A</f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>#N/A</f>
        <v>0</v>
      </c>
      <c r="H58" s="35" t="e">
        <f>#N/A</f>
        <v>#DIV/0!</v>
      </c>
      <c r="I58" s="50">
        <f>#N/A</f>
        <v>0</v>
      </c>
      <c r="J58" s="50" t="e">
        <f>#N/A</f>
        <v>#DIV/0!</v>
      </c>
      <c r="K58" s="50"/>
      <c r="L58" s="50">
        <f>#N/A</f>
        <v>0</v>
      </c>
      <c r="M58" s="35">
        <f>#N/A</f>
        <v>0</v>
      </c>
      <c r="N58" s="35">
        <f>#N/A</f>
        <v>0</v>
      </c>
      <c r="O58" s="47">
        <f>#N/A</f>
        <v>0</v>
      </c>
      <c r="P58" s="50" t="e">
        <f>#N/A</f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>#N/A</f>
        <v>0</v>
      </c>
      <c r="H59" s="35" t="e">
        <f>#N/A</f>
        <v>#DIV/0!</v>
      </c>
      <c r="I59" s="50">
        <f>#N/A</f>
        <v>0</v>
      </c>
      <c r="J59" s="50" t="e">
        <f>#N/A</f>
        <v>#DIV/0!</v>
      </c>
      <c r="K59" s="50"/>
      <c r="L59" s="50">
        <f>#N/A</f>
        <v>0</v>
      </c>
      <c r="M59" s="35">
        <f>#N/A</f>
        <v>0</v>
      </c>
      <c r="N59" s="35">
        <f>#N/A</f>
        <v>0</v>
      </c>
      <c r="O59" s="47">
        <f>#N/A</f>
        <v>0</v>
      </c>
      <c r="P59" s="50" t="e">
        <f>#N/A</f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>#N/A</f>
        <v>0</v>
      </c>
      <c r="H60" s="35" t="e">
        <f>#N/A</f>
        <v>#DIV/0!</v>
      </c>
      <c r="I60" s="50">
        <f>#N/A</f>
        <v>0</v>
      </c>
      <c r="J60" s="50" t="e">
        <f>#N/A</f>
        <v>#DIV/0!</v>
      </c>
      <c r="K60" s="50"/>
      <c r="L60" s="50">
        <f>#N/A</f>
        <v>0</v>
      </c>
      <c r="M60" s="35">
        <f>#N/A</f>
        <v>0</v>
      </c>
      <c r="N60" s="35">
        <f>#N/A</f>
        <v>0</v>
      </c>
      <c r="O60" s="47">
        <f>#N/A</f>
        <v>0</v>
      </c>
      <c r="P60" s="50" t="e">
        <f>#N/A</f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>#N/A</f>
        <v>0</v>
      </c>
      <c r="H61" s="35" t="e">
        <f>#N/A</f>
        <v>#DIV/0!</v>
      </c>
      <c r="I61" s="50">
        <f>#N/A</f>
        <v>0</v>
      </c>
      <c r="J61" s="50" t="e">
        <f>#N/A</f>
        <v>#DIV/0!</v>
      </c>
      <c r="K61" s="50"/>
      <c r="L61" s="50">
        <f>#N/A</f>
        <v>0</v>
      </c>
      <c r="M61" s="35">
        <f>#N/A</f>
        <v>0</v>
      </c>
      <c r="N61" s="35">
        <f>#N/A</f>
        <v>0</v>
      </c>
      <c r="O61" s="47">
        <f>#N/A</f>
        <v>0</v>
      </c>
      <c r="P61" s="50" t="e">
        <f>#N/A</f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>#N/A</f>
        <v>0</v>
      </c>
      <c r="H62" s="35" t="e">
        <f>#N/A</f>
        <v>#DIV/0!</v>
      </c>
      <c r="I62" s="50">
        <f>#N/A</f>
        <v>0</v>
      </c>
      <c r="J62" s="50" t="e">
        <f>#N/A</f>
        <v>#DIV/0!</v>
      </c>
      <c r="K62" s="50"/>
      <c r="L62" s="50">
        <f>#N/A</f>
        <v>0</v>
      </c>
      <c r="M62" s="35">
        <f>#N/A</f>
        <v>0</v>
      </c>
      <c r="N62" s="35">
        <f>#N/A</f>
        <v>0</v>
      </c>
      <c r="O62" s="47">
        <f>#N/A</f>
        <v>0</v>
      </c>
      <c r="P62" s="50" t="e">
        <f>#N/A</f>
        <v>#DIV/0!</v>
      </c>
      <c r="Q62" s="50"/>
      <c r="R62" s="126"/>
    </row>
    <row r="63" spans="1:18" s="6" customFormat="1" ht="30.7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>#N/A</f>
        <v>0</v>
      </c>
      <c r="H63" s="35" t="e">
        <f>#N/A</f>
        <v>#DIV/0!</v>
      </c>
      <c r="I63" s="50">
        <f>#N/A</f>
        <v>0</v>
      </c>
      <c r="J63" s="50" t="e">
        <f>#N/A</f>
        <v>#DIV/0!</v>
      </c>
      <c r="K63" s="50"/>
      <c r="L63" s="50">
        <f>#N/A</f>
        <v>0</v>
      </c>
      <c r="M63" s="35">
        <f>#N/A</f>
        <v>0</v>
      </c>
      <c r="N63" s="35">
        <f>#N/A</f>
        <v>0</v>
      </c>
      <c r="O63" s="47">
        <f>#N/A</f>
        <v>0</v>
      </c>
      <c r="P63" s="50" t="e">
        <f>#N/A</f>
        <v>#DIV/0!</v>
      </c>
      <c r="Q63" s="50"/>
      <c r="R63" s="126"/>
    </row>
    <row r="64" spans="1:18" s="6" customFormat="1" ht="30.7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>#N/A</f>
        <v>0</v>
      </c>
      <c r="H64" s="35" t="e">
        <f>#N/A</f>
        <v>#DIV/0!</v>
      </c>
      <c r="I64" s="50">
        <f>#N/A</f>
        <v>0</v>
      </c>
      <c r="J64" s="50" t="e">
        <f>#N/A</f>
        <v>#DIV/0!</v>
      </c>
      <c r="K64" s="50"/>
      <c r="L64" s="50">
        <f>#N/A</f>
        <v>0</v>
      </c>
      <c r="M64" s="35">
        <f>#N/A</f>
        <v>0</v>
      </c>
      <c r="N64" s="35">
        <f>#N/A</f>
        <v>0</v>
      </c>
      <c r="O64" s="47">
        <f>#N/A</f>
        <v>0</v>
      </c>
      <c r="P64" s="50" t="e">
        <f>#N/A</f>
        <v>#DIV/0!</v>
      </c>
      <c r="Q64" s="50"/>
      <c r="R64" s="126"/>
    </row>
    <row r="65" spans="1:18" s="6" customFormat="1" ht="1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>#N/A</f>
        <v>0</v>
      </c>
      <c r="H65" s="35" t="e">
        <f>#N/A</f>
        <v>#DIV/0!</v>
      </c>
      <c r="I65" s="50">
        <f>#N/A</f>
        <v>0</v>
      </c>
      <c r="J65" s="50" t="e">
        <f>#N/A</f>
        <v>#DIV/0!</v>
      </c>
      <c r="K65" s="50"/>
      <c r="L65" s="50">
        <f>#N/A</f>
        <v>0</v>
      </c>
      <c r="M65" s="35">
        <f>#N/A</f>
        <v>0</v>
      </c>
      <c r="N65" s="35">
        <f>#N/A</f>
        <v>0</v>
      </c>
      <c r="O65" s="47">
        <f>#N/A</f>
        <v>0</v>
      </c>
      <c r="P65" s="50" t="e">
        <f>#N/A</f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>#N/A</f>
        <v>0</v>
      </c>
      <c r="H66" s="35" t="e">
        <f>#N/A</f>
        <v>#DIV/0!</v>
      </c>
      <c r="I66" s="50">
        <f>#N/A</f>
        <v>0</v>
      </c>
      <c r="J66" s="50" t="e">
        <f>#N/A</f>
        <v>#DIV/0!</v>
      </c>
      <c r="K66" s="50"/>
      <c r="L66" s="50">
        <f>#N/A</f>
        <v>0</v>
      </c>
      <c r="M66" s="35">
        <f>#N/A</f>
        <v>0</v>
      </c>
      <c r="N66" s="35">
        <f>#N/A</f>
        <v>0</v>
      </c>
      <c r="O66" s="47">
        <f>#N/A</f>
        <v>0</v>
      </c>
      <c r="P66" s="50" t="e">
        <f>#N/A</f>
        <v>#DIV/0!</v>
      </c>
      <c r="Q66" s="50"/>
      <c r="R66" s="126"/>
    </row>
    <row r="67" spans="1:18" s="6" customFormat="1" ht="1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>#N/A</f>
        <v>0</v>
      </c>
      <c r="H67" s="35" t="e">
        <f>#N/A</f>
        <v>#DIV/0!</v>
      </c>
      <c r="I67" s="50">
        <f>#N/A</f>
        <v>0</v>
      </c>
      <c r="J67" s="50" t="e">
        <f>#N/A</f>
        <v>#DIV/0!</v>
      </c>
      <c r="K67" s="50"/>
      <c r="L67" s="50">
        <f>#N/A</f>
        <v>0</v>
      </c>
      <c r="M67" s="35">
        <f>#N/A</f>
        <v>0</v>
      </c>
      <c r="N67" s="35">
        <f>#N/A</f>
        <v>0</v>
      </c>
      <c r="O67" s="47">
        <f>#N/A</f>
        <v>0</v>
      </c>
      <c r="P67" s="50" t="e">
        <f>#N/A</f>
        <v>#DIV/0!</v>
      </c>
      <c r="Q67" s="50"/>
      <c r="R67" s="126"/>
    </row>
    <row r="68" spans="1:18" s="6" customFormat="1" ht="1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>#N/A</f>
        <v>0.15</v>
      </c>
      <c r="H68" s="35"/>
      <c r="I68" s="50">
        <f>#N/A</f>
        <v>0.15</v>
      </c>
      <c r="J68" s="50" t="e">
        <f>#N/A</f>
        <v>#DIV/0!</v>
      </c>
      <c r="K68" s="50">
        <f>F68-0.15</f>
        <v>0</v>
      </c>
      <c r="L68" s="50">
        <f>F68/0.15*100</f>
        <v>100</v>
      </c>
      <c r="M68" s="35">
        <f>#N/A</f>
        <v>0</v>
      </c>
      <c r="N68" s="35">
        <f>#N/A</f>
        <v>0.15</v>
      </c>
      <c r="O68" s="47">
        <f>#N/A</f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>#N/A</f>
        <v>0</v>
      </c>
      <c r="H69" s="35" t="e">
        <f>F69/E69*100</f>
        <v>#DIV/0!</v>
      </c>
      <c r="I69" s="50">
        <f>#N/A</f>
        <v>0</v>
      </c>
      <c r="J69" s="50" t="e">
        <f>#N/A</f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>#N/A</f>
        <v>#REF!</v>
      </c>
      <c r="P69" s="50" t="e">
        <f>N69/M69*100</f>
        <v>#REF!</v>
      </c>
      <c r="Q69" s="50"/>
      <c r="R69" s="126"/>
    </row>
    <row r="70" spans="1:18" s="6" customFormat="1" ht="30.7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>#N/A</f>
        <v>0</v>
      </c>
      <c r="H70" s="35" t="e">
        <f>F70/E70*100</f>
        <v>#DIV/0!</v>
      </c>
      <c r="I70" s="50">
        <f>#N/A</f>
        <v>0</v>
      </c>
      <c r="J70" s="50" t="e">
        <f>#N/A</f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>#N/A</f>
        <v>#REF!</v>
      </c>
      <c r="P70" s="50" t="e">
        <f>N70/M70*100</f>
        <v>#REF!</v>
      </c>
      <c r="Q70" s="50"/>
      <c r="R70" s="126"/>
    </row>
    <row r="71" spans="1:18" s="6" customFormat="1" ht="30.7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>#N/A</f>
        <v>0</v>
      </c>
      <c r="H71" s="35" t="e">
        <f>F71/E71*100</f>
        <v>#DIV/0!</v>
      </c>
      <c r="I71" s="50">
        <f>#N/A</f>
        <v>-4590</v>
      </c>
      <c r="J71" s="50">
        <f>#N/A</f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>#N/A</f>
        <v>#REF!</v>
      </c>
      <c r="P71" s="50" t="e">
        <f>F71/M71*100</f>
        <v>#REF!</v>
      </c>
      <c r="Q71" s="50"/>
      <c r="R71" s="126"/>
    </row>
    <row r="72" spans="1:18" s="6" customFormat="1" ht="30.7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>#N/A</f>
        <v>0</v>
      </c>
      <c r="H72" s="35" t="e">
        <f>F72/E72*100</f>
        <v>#DIV/0!</v>
      </c>
      <c r="I72" s="50">
        <f>#N/A</f>
        <v>-4410</v>
      </c>
      <c r="J72" s="50">
        <f>#N/A</f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>#N/A</f>
        <v>#REF!</v>
      </c>
      <c r="P72" s="50" t="e">
        <f>F72/M72*100</f>
        <v>#REF!</v>
      </c>
      <c r="Q72" s="50"/>
      <c r="R72" s="126"/>
    </row>
    <row r="73" spans="1:18" s="6" customFormat="1" ht="1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7.2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>#N/A</f>
        <v>-68.64999999999998</v>
      </c>
      <c r="H74" s="45">
        <f>#N/A</f>
        <v>93.70760769935839</v>
      </c>
      <c r="I74" s="31">
        <f>#N/A</f>
        <v>-5609.65</v>
      </c>
      <c r="J74" s="31">
        <f>#N/A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>#N/A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0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>#N/A</f>
        <v>#REF!</v>
      </c>
      <c r="H75" s="35" t="e">
        <f>#N/A</f>
        <v>#REF!</v>
      </c>
      <c r="I75" s="50" t="e">
        <f>#N/A</f>
        <v>#REF!</v>
      </c>
      <c r="J75" s="50" t="e">
        <f>#N/A</f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>#N/A</f>
        <v>#REF!</v>
      </c>
      <c r="P75" s="50" t="e">
        <f>F75/M75*100</f>
        <v>#REF!</v>
      </c>
      <c r="Q75" s="50"/>
      <c r="R75" s="126"/>
    </row>
    <row r="76" spans="1:18" s="6" customFormat="1" ht="1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>#N/A</f>
        <v>0</v>
      </c>
      <c r="H76" s="35" t="e">
        <f>#N/A</f>
        <v>#DIV/0!</v>
      </c>
      <c r="I76" s="50" t="e">
        <f>#N/A</f>
        <v>#REF!</v>
      </c>
      <c r="J76" s="50" t="e">
        <f>#N/A</f>
        <v>#REF!</v>
      </c>
      <c r="K76" s="50"/>
      <c r="L76" s="50"/>
      <c r="M76" s="52"/>
      <c r="N76" s="52"/>
      <c r="O76" s="47">
        <f>#N/A</f>
        <v>0</v>
      </c>
      <c r="P76" s="50" t="e">
        <f>F76/M76*100</f>
        <v>#DIV/0!</v>
      </c>
      <c r="Q76" s="50"/>
      <c r="R76" s="126"/>
    </row>
    <row r="77" spans="1:18" s="6" customFormat="1" ht="46.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>#N/A</f>
        <v>0</v>
      </c>
      <c r="H77" s="35" t="e">
        <f>#N/A</f>
        <v>#DIV/0!</v>
      </c>
      <c r="I77" s="50">
        <f>#N/A</f>
        <v>-60</v>
      </c>
      <c r="J77" s="50">
        <f>#N/A</f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>#N/A</f>
        <v>0</v>
      </c>
      <c r="P77" s="50" t="e">
        <f>#N/A</f>
        <v>#DIV/0!</v>
      </c>
      <c r="Q77" s="50">
        <f>N77-0</f>
        <v>0</v>
      </c>
      <c r="R77" s="126" t="e">
        <f>N77/0</f>
        <v>#DIV/0!</v>
      </c>
    </row>
    <row r="78" spans="1:18" s="6" customFormat="1" ht="30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>#N/A</f>
        <v>0</v>
      </c>
      <c r="H78" s="35" t="e">
        <f>#N/A</f>
        <v>#DIV/0!</v>
      </c>
      <c r="I78" s="50">
        <f>#N/A</f>
        <v>0</v>
      </c>
      <c r="J78" s="50" t="e">
        <f>#N/A</f>
        <v>#DIV/0!</v>
      </c>
      <c r="K78" s="50"/>
      <c r="L78" s="50">
        <f>#N/A</f>
        <v>0</v>
      </c>
      <c r="M78" s="35">
        <f>#N/A</f>
        <v>0</v>
      </c>
      <c r="N78" s="35">
        <f>#N/A</f>
        <v>0</v>
      </c>
      <c r="O78" s="47">
        <f>#N/A</f>
        <v>0</v>
      </c>
      <c r="P78" s="50" t="e">
        <f>#N/A</f>
        <v>#DIV/0!</v>
      </c>
      <c r="Q78" s="50"/>
      <c r="R78" s="126"/>
    </row>
    <row r="79" spans="1:18" s="6" customFormat="1" ht="30.7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>#N/A</f>
        <v>0</v>
      </c>
      <c r="H79" s="35" t="e">
        <f>#N/A</f>
        <v>#DIV/0!</v>
      </c>
      <c r="I79" s="50">
        <f>#N/A</f>
        <v>0</v>
      </c>
      <c r="J79" s="50" t="e">
        <f>#N/A</f>
        <v>#DIV/0!</v>
      </c>
      <c r="K79" s="50"/>
      <c r="L79" s="50">
        <f>#N/A</f>
        <v>0</v>
      </c>
      <c r="M79" s="35">
        <f>#N/A</f>
        <v>0</v>
      </c>
      <c r="N79" s="35">
        <f>#N/A</f>
        <v>0</v>
      </c>
      <c r="O79" s="47">
        <f>#N/A</f>
        <v>0</v>
      </c>
      <c r="P79" s="50" t="e">
        <f>#N/A</f>
        <v>#DIV/0!</v>
      </c>
      <c r="Q79" s="50"/>
      <c r="R79" s="126"/>
    </row>
    <row r="80" spans="1:18" s="6" customFormat="1" ht="30.7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>#N/A</f>
        <v>0</v>
      </c>
      <c r="H80" s="35" t="e">
        <f>#N/A</f>
        <v>#DIV/0!</v>
      </c>
      <c r="I80" s="50">
        <f>#N/A</f>
        <v>0</v>
      </c>
      <c r="J80" s="50" t="e">
        <f>#N/A</f>
        <v>#DIV/0!</v>
      </c>
      <c r="K80" s="50"/>
      <c r="L80" s="50">
        <f>#N/A</f>
        <v>0</v>
      </c>
      <c r="M80" s="35">
        <f>#N/A</f>
        <v>0</v>
      </c>
      <c r="N80" s="35">
        <f>#N/A</f>
        <v>0</v>
      </c>
      <c r="O80" s="47">
        <f>#N/A</f>
        <v>0</v>
      </c>
      <c r="P80" s="50" t="e">
        <f>#N/A</f>
        <v>#DIV/0!</v>
      </c>
      <c r="Q80" s="50"/>
      <c r="R80" s="126"/>
    </row>
    <row r="81" spans="1:18" s="6" customFormat="1" ht="1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>#N/A</f>
        <v>0</v>
      </c>
      <c r="H81" s="35" t="e">
        <f>#N/A</f>
        <v>#DIV/0!</v>
      </c>
      <c r="I81" s="50">
        <f>#N/A</f>
        <v>0</v>
      </c>
      <c r="J81" s="50" t="e">
        <f>#N/A</f>
        <v>#DIV/0!</v>
      </c>
      <c r="K81" s="50"/>
      <c r="L81" s="50">
        <f>#N/A</f>
        <v>0</v>
      </c>
      <c r="M81" s="35">
        <f>#N/A</f>
        <v>0</v>
      </c>
      <c r="N81" s="35">
        <f>#N/A</f>
        <v>0</v>
      </c>
      <c r="O81" s="47">
        <f>#N/A</f>
        <v>0</v>
      </c>
      <c r="P81" s="50" t="e">
        <f>#N/A</f>
        <v>#DIV/0!</v>
      </c>
      <c r="Q81" s="50"/>
      <c r="R81" s="126"/>
    </row>
    <row r="82" spans="1:18" s="6" customFormat="1" ht="46.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>#N/A</f>
        <v>0</v>
      </c>
      <c r="H82" s="35" t="e">
        <f>#N/A</f>
        <v>#DIV/0!</v>
      </c>
      <c r="I82" s="50">
        <f>#N/A</f>
        <v>0</v>
      </c>
      <c r="J82" s="50" t="e">
        <f>#N/A</f>
        <v>#DIV/0!</v>
      </c>
      <c r="K82" s="50"/>
      <c r="L82" s="50">
        <f>#N/A</f>
        <v>0</v>
      </c>
      <c r="M82" s="35">
        <f>#N/A</f>
        <v>0</v>
      </c>
      <c r="N82" s="35">
        <f>#N/A</f>
        <v>0</v>
      </c>
      <c r="O82" s="47">
        <f>#N/A</f>
        <v>0</v>
      </c>
      <c r="P82" s="50" t="e">
        <f>#N/A</f>
        <v>#DIV/0!</v>
      </c>
      <c r="Q82" s="50"/>
      <c r="R82" s="126"/>
    </row>
    <row r="83" spans="1:18" s="6" customFormat="1" ht="46.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>#N/A</f>
        <v>0</v>
      </c>
      <c r="H83" s="35" t="e">
        <f>#N/A</f>
        <v>#DIV/0!</v>
      </c>
      <c r="I83" s="50">
        <f>#N/A</f>
        <v>0</v>
      </c>
      <c r="J83" s="50" t="e">
        <f>#N/A</f>
        <v>#DIV/0!</v>
      </c>
      <c r="K83" s="50"/>
      <c r="L83" s="50">
        <f>#N/A</f>
        <v>0</v>
      </c>
      <c r="M83" s="35">
        <f>#N/A</f>
        <v>0</v>
      </c>
      <c r="N83" s="35">
        <f>#N/A</f>
        <v>0</v>
      </c>
      <c r="O83" s="47">
        <f>#N/A</f>
        <v>0</v>
      </c>
      <c r="P83" s="50" t="e">
        <f>#N/A</f>
        <v>#DIV/0!</v>
      </c>
      <c r="Q83" s="50"/>
      <c r="R83" s="126"/>
    </row>
    <row r="84" spans="1:18" s="6" customFormat="1" ht="30.7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>#N/A</f>
        <v>0</v>
      </c>
      <c r="H84" s="35" t="e">
        <f>#N/A</f>
        <v>#DIV/0!</v>
      </c>
      <c r="I84" s="50">
        <f>#N/A</f>
        <v>0</v>
      </c>
      <c r="J84" s="50" t="e">
        <f>#N/A</f>
        <v>#DIV/0!</v>
      </c>
      <c r="K84" s="50"/>
      <c r="L84" s="50">
        <f>#N/A</f>
        <v>0</v>
      </c>
      <c r="M84" s="35">
        <f>#N/A</f>
        <v>0</v>
      </c>
      <c r="N84" s="35">
        <f>#N/A</f>
        <v>0</v>
      </c>
      <c r="O84" s="47">
        <f>#N/A</f>
        <v>0</v>
      </c>
      <c r="P84" s="50" t="e">
        <f>#N/A</f>
        <v>#DIV/0!</v>
      </c>
      <c r="Q84" s="50"/>
      <c r="R84" s="126"/>
    </row>
    <row r="85" spans="1:18" s="6" customFormat="1" ht="1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>#N/A</f>
        <v>0</v>
      </c>
      <c r="H85" s="35" t="e">
        <f>#N/A</f>
        <v>#DIV/0!</v>
      </c>
      <c r="I85" s="50">
        <f>#N/A</f>
        <v>0</v>
      </c>
      <c r="J85" s="50" t="e">
        <f>#N/A</f>
        <v>#DIV/0!</v>
      </c>
      <c r="K85" s="50"/>
      <c r="L85" s="50">
        <f>#N/A</f>
        <v>0</v>
      </c>
      <c r="M85" s="35">
        <f>#N/A</f>
        <v>0</v>
      </c>
      <c r="N85" s="35">
        <f>#N/A</f>
        <v>0</v>
      </c>
      <c r="O85" s="47">
        <f>#N/A</f>
        <v>0</v>
      </c>
      <c r="P85" s="50" t="e">
        <f>#N/A</f>
        <v>#DIV/0!</v>
      </c>
      <c r="Q85" s="50"/>
      <c r="R85" s="126"/>
    </row>
    <row r="86" spans="1:18" s="6" customFormat="1" ht="30.7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>#N/A</f>
        <v>0</v>
      </c>
      <c r="H86" s="35" t="e">
        <f>#N/A</f>
        <v>#DIV/0!</v>
      </c>
      <c r="I86" s="50">
        <f>#N/A</f>
        <v>0</v>
      </c>
      <c r="J86" s="50" t="e">
        <f>#N/A</f>
        <v>#DIV/0!</v>
      </c>
      <c r="K86" s="50">
        <f>F86-0</f>
        <v>0</v>
      </c>
      <c r="L86" s="50" t="e">
        <f>F86/0*100</f>
        <v>#DIV/0!</v>
      </c>
      <c r="M86" s="35">
        <f>#N/A</f>
        <v>0</v>
      </c>
      <c r="N86" s="35">
        <f>#N/A</f>
        <v>0</v>
      </c>
      <c r="O86" s="47">
        <f>#N/A</f>
        <v>0</v>
      </c>
      <c r="P86" s="50" t="e">
        <f>#N/A</f>
        <v>#DIV/0!</v>
      </c>
      <c r="Q86" s="50">
        <f>N86-0</f>
        <v>0</v>
      </c>
      <c r="R86" s="126" t="e">
        <f>N86/0</f>
        <v>#DIV/0!</v>
      </c>
    </row>
    <row r="87" spans="1:18" s="6" customFormat="1" ht="1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>#N/A</f>
        <v>0</v>
      </c>
      <c r="N87" s="35">
        <f>#N/A</f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0.7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>#N/A</f>
        <v>-1</v>
      </c>
      <c r="H88" s="35">
        <f>F88/E88*100</f>
        <v>0</v>
      </c>
      <c r="I88" s="50">
        <f>#N/A</f>
        <v>-32</v>
      </c>
      <c r="J88" s="50">
        <f>#N/A</f>
        <v>0</v>
      </c>
      <c r="K88" s="50">
        <f>F88-0</f>
        <v>0</v>
      </c>
      <c r="L88" s="50" t="e">
        <f>F88/0*100</f>
        <v>#DIV/0!</v>
      </c>
      <c r="M88" s="35">
        <f>#N/A</f>
        <v>1</v>
      </c>
      <c r="N88" s="35">
        <f>#N/A</f>
        <v>0</v>
      </c>
      <c r="O88" s="47">
        <f>#N/A</f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>#N/A</f>
        <v>-2.4299999999999997</v>
      </c>
      <c r="H89" s="35">
        <f>F89/E89*100</f>
        <v>75.7</v>
      </c>
      <c r="I89" s="50">
        <f>#N/A</f>
        <v>-52.43</v>
      </c>
      <c r="J89" s="50">
        <f>#N/A</f>
        <v>12.616666666666667</v>
      </c>
      <c r="K89" s="50">
        <f>F89-9.02</f>
        <v>-1.4499999999999993</v>
      </c>
      <c r="L89" s="50">
        <f>F89/9.02*100</f>
        <v>83.92461197339247</v>
      </c>
      <c r="M89" s="35">
        <f>#N/A</f>
        <v>10</v>
      </c>
      <c r="N89" s="35">
        <f>#N/A</f>
        <v>7.57</v>
      </c>
      <c r="O89" s="47">
        <f>#N/A</f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7.2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>#N/A</f>
        <v>0</v>
      </c>
      <c r="H90" s="35" t="e">
        <f>F90/E90*100</f>
        <v>#DIV/0!</v>
      </c>
      <c r="I90" s="50">
        <f>#N/A</f>
        <v>0</v>
      </c>
      <c r="J90" s="50" t="e">
        <f>#N/A</f>
        <v>#DIV/0!</v>
      </c>
      <c r="K90" s="50"/>
      <c r="L90" s="50">
        <f>#N/A</f>
        <v>0</v>
      </c>
      <c r="M90" s="35">
        <f>#N/A</f>
        <v>0</v>
      </c>
      <c r="N90" s="35">
        <f>#N/A</f>
        <v>0</v>
      </c>
      <c r="O90" s="47">
        <f>#N/A</f>
        <v>0</v>
      </c>
      <c r="P90" s="50" t="e">
        <f>N90/M90*100</f>
        <v>#DIV/0!</v>
      </c>
      <c r="Q90" s="50"/>
      <c r="R90" s="126"/>
    </row>
    <row r="91" spans="1:18" s="6" customFormat="1" ht="1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>#N/A</f>
        <v>0</v>
      </c>
      <c r="H91" s="35" t="e">
        <f>F91/E91*100</f>
        <v>#DIV/0!</v>
      </c>
      <c r="I91" s="50">
        <f>#N/A</f>
        <v>0</v>
      </c>
      <c r="J91" s="50" t="e">
        <f>#N/A</f>
        <v>#DIV/0!</v>
      </c>
      <c r="K91" s="50"/>
      <c r="L91" s="50">
        <f>#N/A</f>
        <v>0</v>
      </c>
      <c r="M91" s="35">
        <f>#N/A</f>
        <v>0</v>
      </c>
      <c r="N91" s="35">
        <f>#N/A</f>
        <v>0</v>
      </c>
      <c r="O91" s="47">
        <f>#N/A</f>
        <v>0</v>
      </c>
      <c r="P91" s="50" t="e">
        <f>N91/M91*100</f>
        <v>#DIV/0!</v>
      </c>
      <c r="Q91" s="50"/>
      <c r="R91" s="126"/>
    </row>
    <row r="92" spans="1:18" s="6" customFormat="1" ht="1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>#N/A</f>
        <v>0</v>
      </c>
      <c r="H92" s="35" t="e">
        <f>F92/E92*100</f>
        <v>#DIV/0!</v>
      </c>
      <c r="I92" s="50">
        <f>#N/A</f>
        <v>0</v>
      </c>
      <c r="J92" s="50" t="e">
        <f>#N/A</f>
        <v>#DIV/0!</v>
      </c>
      <c r="K92" s="50"/>
      <c r="L92" s="50">
        <f>#N/A</f>
        <v>0</v>
      </c>
      <c r="M92" s="35">
        <f>#N/A</f>
        <v>0</v>
      </c>
      <c r="N92" s="35">
        <f>#N/A</f>
        <v>0</v>
      </c>
      <c r="O92" s="47">
        <f>#N/A</f>
        <v>0</v>
      </c>
      <c r="P92" s="50" t="e">
        <f>N92/M92*100</f>
        <v>#DIV/0!</v>
      </c>
      <c r="Q92" s="50"/>
      <c r="R92" s="126"/>
    </row>
    <row r="93" spans="1:18" s="6" customFormat="1" ht="30.7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>#N/A</f>
        <v>0</v>
      </c>
      <c r="M93" s="35">
        <f>#N/A</f>
        <v>0</v>
      </c>
      <c r="N93" s="35">
        <f>#N/A</f>
        <v>0</v>
      </c>
      <c r="O93" s="47"/>
      <c r="P93" s="50"/>
      <c r="Q93" s="50"/>
      <c r="R93" s="126"/>
    </row>
    <row r="94" spans="1:18" s="6" customFormat="1" ht="46.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>#N/A</f>
        <v>0</v>
      </c>
      <c r="H94" s="35"/>
      <c r="I94" s="50">
        <f>#N/A</f>
        <v>0</v>
      </c>
      <c r="J94" s="50"/>
      <c r="K94" s="50"/>
      <c r="L94" s="50">
        <f>#N/A</f>
        <v>0</v>
      </c>
      <c r="M94" s="35">
        <f>#N/A</f>
        <v>0</v>
      </c>
      <c r="N94" s="35">
        <f>#N/A</f>
        <v>0</v>
      </c>
      <c r="O94" s="47">
        <f>#N/A</f>
        <v>0</v>
      </c>
      <c r="P94" s="50"/>
      <c r="Q94" s="50"/>
      <c r="R94" s="126"/>
    </row>
    <row r="95" spans="1:18" s="6" customFormat="1" ht="30.7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>#N/A</f>
        <v>60.700000000000045</v>
      </c>
      <c r="H95" s="35">
        <f>F95/E95*100</f>
        <v>109.63492063492065</v>
      </c>
      <c r="I95" s="50">
        <f>#N/A</f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>#N/A</f>
        <v>630</v>
      </c>
      <c r="N95" s="35">
        <f>#N/A</f>
        <v>690.7</v>
      </c>
      <c r="O95" s="47">
        <f>#N/A</f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>#N/A</f>
        <v>-10.79</v>
      </c>
      <c r="H96" s="35">
        <f>F96/E96*100</f>
        <v>84.58571428571429</v>
      </c>
      <c r="I96" s="50">
        <f>#N/A</f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>#N/A</f>
        <v>70</v>
      </c>
      <c r="N96" s="35">
        <f>#N/A</f>
        <v>59.21</v>
      </c>
      <c r="O96" s="47">
        <f>#N/A</f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6.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>#N/A</f>
        <v>0</v>
      </c>
      <c r="H97" s="35"/>
      <c r="I97" s="50">
        <f>#N/A</f>
        <v>0</v>
      </c>
      <c r="J97" s="50"/>
      <c r="K97" s="50"/>
      <c r="L97" s="50"/>
      <c r="M97" s="35">
        <f>#N/A</f>
        <v>0</v>
      </c>
      <c r="N97" s="35">
        <f>#N/A</f>
        <v>0</v>
      </c>
      <c r="O97" s="47">
        <f>#N/A</f>
        <v>0</v>
      </c>
      <c r="P97" s="50"/>
      <c r="Q97" s="50">
        <f>N97-0</f>
        <v>0</v>
      </c>
      <c r="R97" s="126"/>
    </row>
    <row r="98" spans="1:18" s="6" customFormat="1" ht="1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>#N/A</f>
        <v>0</v>
      </c>
      <c r="H98" s="35" t="e">
        <f>F98/E98*100</f>
        <v>#DIV/0!</v>
      </c>
      <c r="I98" s="50">
        <f>#N/A</f>
        <v>0</v>
      </c>
      <c r="J98" s="50" t="e">
        <f>F98/D98*100</f>
        <v>#DIV/0!</v>
      </c>
      <c r="K98" s="50"/>
      <c r="L98" s="50">
        <f>#N/A</f>
        <v>0</v>
      </c>
      <c r="M98" s="35">
        <f>#N/A</f>
        <v>0</v>
      </c>
      <c r="N98" s="35">
        <f>#N/A</f>
        <v>0</v>
      </c>
      <c r="O98" s="47">
        <f>#N/A</f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>#N/A</f>
        <v>-116.80000000000001</v>
      </c>
      <c r="H99" s="35">
        <f>F99/E99*100</f>
        <v>69.26315789473684</v>
      </c>
      <c r="I99" s="50">
        <f>#N/A</f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>#N/A</f>
        <v>380</v>
      </c>
      <c r="N99" s="35">
        <f>#N/A</f>
        <v>263.2</v>
      </c>
      <c r="O99" s="47">
        <f>#N/A</f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>#N/A</f>
        <v>0</v>
      </c>
      <c r="H100" s="35" t="e">
        <f>F100/E100*100</f>
        <v>#DIV/0!</v>
      </c>
      <c r="I100" s="50">
        <f>#N/A</f>
        <v>0</v>
      </c>
      <c r="J100" s="50" t="e">
        <f>F100/D100*100</f>
        <v>#DIV/0!</v>
      </c>
      <c r="K100" s="50"/>
      <c r="L100" s="50">
        <f>#N/A</f>
        <v>0</v>
      </c>
      <c r="M100" s="35">
        <f>#N/A</f>
        <v>0</v>
      </c>
      <c r="N100" s="35">
        <f>#N/A</f>
        <v>0</v>
      </c>
      <c r="O100" s="47">
        <f>#N/A</f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>#N/A</f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>#N/A</f>
        <v>0</v>
      </c>
      <c r="M101" s="35">
        <f>#N/A</f>
        <v>0</v>
      </c>
      <c r="N101" s="35">
        <f>#N/A</f>
        <v>0</v>
      </c>
      <c r="O101" s="47">
        <f>#N/A</f>
        <v>0</v>
      </c>
      <c r="P101" s="50"/>
      <c r="Q101" s="50"/>
      <c r="R101" s="126">
        <f>N101/277.38</f>
        <v>0</v>
      </c>
    </row>
    <row r="102" spans="1:18" s="6" customFormat="1" ht="30.7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>#N/A</f>
        <v>0</v>
      </c>
      <c r="N102" s="35">
        <f>#N/A</f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>#N/A</f>
        <v>0</v>
      </c>
      <c r="J103" s="50"/>
      <c r="K103" s="50">
        <f>F103-0</f>
        <v>0</v>
      </c>
      <c r="L103" s="50" t="e">
        <f>F103/0*100</f>
        <v>#DIV/0!</v>
      </c>
      <c r="M103" s="35">
        <f>#N/A</f>
        <v>0</v>
      </c>
      <c r="N103" s="35">
        <f>#N/A</f>
        <v>0</v>
      </c>
      <c r="O103" s="47">
        <f>#N/A</f>
        <v>0</v>
      </c>
      <c r="P103" s="50"/>
      <c r="Q103" s="50"/>
      <c r="R103" s="126"/>
    </row>
    <row r="104" spans="1:18" s="6" customFormat="1" ht="30.7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>#N/A</f>
        <v>-9.2</v>
      </c>
      <c r="J104" s="50">
        <f>#N/A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>#N/A</f>
        <v>2</v>
      </c>
      <c r="N104" s="35">
        <f>#N/A</f>
        <v>1.8</v>
      </c>
      <c r="O104" s="47">
        <f>#N/A</f>
        <v>-0.19999999999999996</v>
      </c>
      <c r="P104" s="50"/>
      <c r="Q104" s="50"/>
      <c r="R104" s="126"/>
    </row>
    <row r="105" spans="1:18" s="6" customFormat="1" ht="30.7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>#N/A</f>
        <v>0</v>
      </c>
      <c r="N105" s="35">
        <f>#N/A</f>
        <v>0</v>
      </c>
      <c r="O105" s="47">
        <f>#N/A</f>
        <v>0</v>
      </c>
      <c r="P105" s="50"/>
      <c r="Q105" s="50"/>
      <c r="R105" s="126"/>
    </row>
    <row r="106" spans="1:21" s="6" customFormat="1" ht="17.2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>#N/A</f>
        <v>-160300.78</v>
      </c>
      <c r="J106" s="31">
        <f>#N/A</f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>#N/A</f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7.2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>#N/A</f>
        <v>-115312.77000000002</v>
      </c>
      <c r="J107" s="46">
        <f>#N/A</f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>#N/A</f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7.2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>#N/A</f>
        <v>-44988.009999999995</v>
      </c>
      <c r="J108" s="46">
        <f>#N/A</f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>#N/A</f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7.2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>#N/A</f>
        <v>0</v>
      </c>
      <c r="J109" s="46" t="e">
        <f>#N/A</f>
        <v>#DIV/0!</v>
      </c>
      <c r="K109" s="46"/>
      <c r="L109" s="46"/>
      <c r="M109" s="113">
        <f>E109</f>
        <v>0</v>
      </c>
      <c r="N109" s="64"/>
      <c r="O109" s="109">
        <f>#N/A</f>
        <v>0</v>
      </c>
      <c r="P109" s="46" t="e">
        <f>N109/M109*100</f>
        <v>#DIV/0!</v>
      </c>
      <c r="Q109" s="46"/>
      <c r="R109" s="128"/>
    </row>
    <row r="110" spans="1:18" s="66" customFormat="1" ht="17.2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>#N/A</f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6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>#N/A</f>
        <v>0</v>
      </c>
      <c r="H113" s="35"/>
      <c r="I113" s="53">
        <f>#N/A</f>
        <v>0</v>
      </c>
      <c r="J113" s="53"/>
      <c r="K113" s="53">
        <f>F113-0.18</f>
        <v>-0.18</v>
      </c>
      <c r="L113" s="53">
        <f>F113/0.18*100</f>
        <v>0</v>
      </c>
      <c r="M113" s="35">
        <f>#N/A</f>
        <v>0</v>
      </c>
      <c r="N113" s="35">
        <f>#N/A</f>
        <v>0</v>
      </c>
      <c r="O113" s="47"/>
      <c r="P113" s="53"/>
      <c r="Q113" s="53">
        <f>N113-0.18</f>
        <v>-0.18</v>
      </c>
      <c r="R113" s="129"/>
    </row>
    <row r="114" spans="2:18" ht="1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>#N/A</f>
        <v>-697.039</v>
      </c>
      <c r="H114" s="35">
        <f>#N/A</f>
        <v>2.3562075984192954</v>
      </c>
      <c r="I114" s="53">
        <f>#N/A</f>
        <v>-4266.337</v>
      </c>
      <c r="J114" s="53">
        <f>#N/A</f>
        <v>0.39270099134820413</v>
      </c>
      <c r="K114" s="53">
        <f>F114-68.14</f>
        <v>-51.32</v>
      </c>
      <c r="L114" s="53">
        <f>F114/68.14*100</f>
        <v>24.68447314352803</v>
      </c>
      <c r="M114" s="35">
        <f>#N/A</f>
        <v>713.859</v>
      </c>
      <c r="N114" s="35">
        <f>#N/A</f>
        <v>16.82</v>
      </c>
      <c r="O114" s="47">
        <f>#N/A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0.7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>#N/A</f>
        <v>-20.56</v>
      </c>
      <c r="H115" s="35">
        <f>#N/A</f>
        <v>17.76</v>
      </c>
      <c r="I115" s="53">
        <f>#N/A</f>
        <v>-145.56</v>
      </c>
      <c r="J115" s="53">
        <f>#N/A</f>
        <v>2.96</v>
      </c>
      <c r="K115" s="53">
        <f>F115-24.53</f>
        <v>-20.09</v>
      </c>
      <c r="L115" s="53">
        <f>F115/24.53*100</f>
        <v>18.100285364859356</v>
      </c>
      <c r="M115" s="35">
        <f>#N/A</f>
        <v>25</v>
      </c>
      <c r="N115" s="35">
        <f>#N/A</f>
        <v>4.44</v>
      </c>
      <c r="O115" s="47">
        <f>#N/A</f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>#N/A</f>
        <v>-717.599</v>
      </c>
      <c r="H116" s="65">
        <f>#N/A</f>
        <v>2.87740962754734</v>
      </c>
      <c r="I116" s="54">
        <f>#N/A</f>
        <v>-4411.897</v>
      </c>
      <c r="J116" s="54">
        <f>#N/A</f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>#N/A</f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6.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>#N/A</f>
        <v>0</v>
      </c>
      <c r="H117" s="35" t="e">
        <f>#N/A</f>
        <v>#DIV/0!</v>
      </c>
      <c r="I117" s="53">
        <f>#N/A</f>
        <v>0</v>
      </c>
      <c r="J117" s="53" t="e">
        <f>#N/A</f>
        <v>#DIV/0!</v>
      </c>
      <c r="K117" s="53"/>
      <c r="L117" s="53"/>
      <c r="M117" s="36">
        <v>0</v>
      </c>
      <c r="N117" s="36">
        <f>#N/A</f>
        <v>0</v>
      </c>
      <c r="O117" s="47">
        <f>#N/A</f>
        <v>0</v>
      </c>
      <c r="P117" s="53" t="e">
        <f>N117/M117*100</f>
        <v>#DIV/0!</v>
      </c>
      <c r="Q117" s="53"/>
      <c r="R117" s="129"/>
    </row>
    <row r="118" spans="2:19" ht="30.7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>#N/A</f>
        <v>84.67</v>
      </c>
      <c r="H118" s="35" t="e">
        <f>#N/A</f>
        <v>#DIV/0!</v>
      </c>
      <c r="I118" s="53">
        <f>#N/A</f>
        <v>84.67</v>
      </c>
      <c r="J118" s="53" t="e">
        <f>#N/A</f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>#N/A</f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>#N/A</f>
        <v>8334.48</v>
      </c>
      <c r="H119" s="35" t="e">
        <f>#N/A</f>
        <v>#DIV/0!</v>
      </c>
      <c r="I119" s="47">
        <f>#N/A</f>
        <v>8334.48</v>
      </c>
      <c r="J119" s="53" t="e">
        <f>#N/A</f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>#N/A</f>
        <v>8334.48</v>
      </c>
      <c r="O119" s="47">
        <f>#N/A</f>
        <v>8334.48</v>
      </c>
      <c r="P119" s="53" t="e">
        <f>#N/A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0.7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>#N/A</f>
        <v>0.03</v>
      </c>
      <c r="H120" s="35" t="e">
        <f>#N/A</f>
        <v>#DIV/0!</v>
      </c>
      <c r="I120" s="53">
        <f>#N/A</f>
        <v>0.03</v>
      </c>
      <c r="J120" s="53" t="e">
        <f>#N/A</f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>#N/A</f>
        <v>0.03</v>
      </c>
      <c r="O120" s="47">
        <f>#N/A</f>
        <v>0.03</v>
      </c>
      <c r="P120" s="53" t="e">
        <f>#N/A</f>
        <v>#DIV/0!</v>
      </c>
      <c r="Q120" s="53">
        <f>N120-0.04</f>
        <v>-0.010000000000000002</v>
      </c>
      <c r="R120" s="129">
        <f>N120/0.04</f>
        <v>0.75</v>
      </c>
    </row>
    <row r="121" spans="2:18" ht="1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>#N/A</f>
        <v>259.69</v>
      </c>
      <c r="H121" s="35" t="e">
        <f>#N/A</f>
        <v>#DIV/0!</v>
      </c>
      <c r="I121" s="53">
        <f>#N/A</f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>#N/A</f>
        <v>259.69</v>
      </c>
      <c r="O121" s="47">
        <f>#N/A</f>
        <v>259.69</v>
      </c>
      <c r="P121" s="53" t="e">
        <f>#N/A</f>
        <v>#DIV/0!</v>
      </c>
      <c r="Q121" s="53">
        <f>N121-450.01</f>
        <v>-190.32</v>
      </c>
      <c r="R121" s="129">
        <f>N121/450.01</f>
        <v>0.5770760649763339</v>
      </c>
    </row>
    <row r="122" spans="2:18" ht="30.7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>#N/A</f>
        <v>-16.04</v>
      </c>
      <c r="H122" s="35" t="e">
        <f>#N/A</f>
        <v>#DIV/0!</v>
      </c>
      <c r="I122" s="53">
        <f>#N/A</f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>#N/A</f>
        <v>-16.04</v>
      </c>
      <c r="O122" s="47">
        <f>#N/A</f>
        <v>-16.04</v>
      </c>
      <c r="P122" s="53" t="e">
        <f>#N/A</f>
        <v>#DIV/0!</v>
      </c>
      <c r="Q122" s="53">
        <f>N122-1.05</f>
        <v>-17.09</v>
      </c>
      <c r="R122" s="129">
        <f>N122/1.05</f>
        <v>-15.276190476190475</v>
      </c>
    </row>
    <row r="123" spans="2:20" ht="33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>#N/A</f>
        <v>8662.83</v>
      </c>
      <c r="H123" s="65" t="e">
        <f>#N/A</f>
        <v>#DIV/0!</v>
      </c>
      <c r="I123" s="54">
        <f>#N/A</f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>#N/A</f>
        <v>8662.83</v>
      </c>
      <c r="P123" s="54" t="e">
        <f>#N/A</f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6.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>#N/A</f>
        <v>0</v>
      </c>
      <c r="H124" s="35" t="e">
        <f>#N/A</f>
        <v>#DIV/0!</v>
      </c>
      <c r="I124" s="53">
        <f>#N/A</f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>#N/A</f>
        <v>0</v>
      </c>
      <c r="N124" s="35">
        <f>#N/A</f>
        <v>0</v>
      </c>
      <c r="O124" s="47">
        <f>#N/A</f>
        <v>0</v>
      </c>
      <c r="P124" s="53" t="e">
        <f>#N/A</f>
        <v>#DIV/0!</v>
      </c>
      <c r="Q124" s="53">
        <f>N124-0.16</f>
        <v>-0.16</v>
      </c>
      <c r="R124" s="129">
        <f>N124/0.16</f>
        <v>0</v>
      </c>
    </row>
    <row r="125" spans="2:18" ht="1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>#N/A</f>
        <v>0</v>
      </c>
      <c r="H125" s="35" t="e">
        <f>#N/A</f>
        <v>#DIV/0!</v>
      </c>
      <c r="I125" s="56"/>
      <c r="J125" s="56"/>
      <c r="K125" s="56"/>
      <c r="L125" s="53">
        <f>F125</f>
        <v>0</v>
      </c>
      <c r="M125" s="35">
        <f>#N/A</f>
        <v>0</v>
      </c>
      <c r="N125" s="35">
        <f>#N/A</f>
        <v>0</v>
      </c>
      <c r="O125" s="47">
        <f>#N/A</f>
        <v>0</v>
      </c>
      <c r="P125" s="56"/>
      <c r="Q125" s="56"/>
      <c r="R125" s="131"/>
    </row>
    <row r="126" spans="2:18" ht="1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>#N/A</f>
        <v>0</v>
      </c>
      <c r="N126" s="35">
        <f>#N/A</f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>#N/A</f>
        <v>-1421.4279999999999</v>
      </c>
      <c r="H127" s="35">
        <f>F127/E127*100</f>
        <v>0.6979093458374843</v>
      </c>
      <c r="I127" s="53">
        <f>#N/A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>#N/A</f>
        <v>1431.418</v>
      </c>
      <c r="N127" s="35">
        <f>#N/A</f>
        <v>9.99</v>
      </c>
      <c r="O127" s="47">
        <f>#N/A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0.7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>#N/A</f>
        <v>0.17</v>
      </c>
      <c r="H128" s="35"/>
      <c r="I128" s="53">
        <f>#N/A</f>
        <v>0.17</v>
      </c>
      <c r="J128" s="53"/>
      <c r="K128" s="53">
        <f>F128-(-0.21)</f>
        <v>0.38</v>
      </c>
      <c r="L128" s="53"/>
      <c r="M128" s="35">
        <f>#N/A</f>
        <v>0</v>
      </c>
      <c r="N128" s="35">
        <f>#N/A</f>
        <v>0.17</v>
      </c>
      <c r="O128" s="47">
        <f>#N/A</f>
        <v>0.17</v>
      </c>
      <c r="P128" s="53"/>
      <c r="Q128" s="53">
        <f>N128-(-0.21)</f>
        <v>0.38</v>
      </c>
      <c r="R128" s="129"/>
    </row>
    <row r="129" spans="2:18" ht="30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>#N/A</f>
        <v>-1421.2579999999998</v>
      </c>
      <c r="H129" s="65">
        <f>F129/E129*100</f>
        <v>0.709785681051936</v>
      </c>
      <c r="I129" s="54">
        <f>#N/A</f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>#N/A</f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0.7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>#N/A</f>
        <v>0</v>
      </c>
      <c r="N130" s="35">
        <f>#N/A</f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6.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>#N/A</f>
        <v>0</v>
      </c>
      <c r="N131" s="35">
        <f>#N/A</f>
        <v>0</v>
      </c>
      <c r="O131" s="47"/>
      <c r="P131" s="53"/>
      <c r="Q131" s="53">
        <f>N131-0</f>
        <v>0</v>
      </c>
      <c r="R131" s="129"/>
    </row>
    <row r="132" spans="2:18" ht="30.7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>#N/A</f>
        <v>0</v>
      </c>
      <c r="H132" s="35" t="e">
        <f>F132/E132*100</f>
        <v>#DIV/0!</v>
      </c>
      <c r="I132" s="53">
        <f>#N/A</f>
        <v>0</v>
      </c>
      <c r="J132" s="53" t="e">
        <f>F132/D132*100</f>
        <v>#DIV/0!</v>
      </c>
      <c r="K132" s="53"/>
      <c r="L132" s="53"/>
      <c r="M132" s="35">
        <f>#N/A</f>
        <v>0</v>
      </c>
      <c r="N132" s="35">
        <f>#N/A</f>
        <v>0</v>
      </c>
      <c r="O132" s="47">
        <f>#N/A</f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>#N/A</f>
        <v>6524.563</v>
      </c>
      <c r="H133" s="45">
        <f>F133/E133*100</f>
        <v>400.63273029203185</v>
      </c>
      <c r="I133" s="31">
        <f>#N/A</f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>#N/A</f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7.2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>#N/A</f>
        <v>22866.53300000001</v>
      </c>
      <c r="H134" s="45">
        <f>F134/E134*100</f>
        <v>204.21720262043692</v>
      </c>
      <c r="I134" s="31">
        <f>#N/A</f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>#N/A</f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">
      <c r="B135" s="23" t="s">
        <v>117</v>
      </c>
      <c r="N135" s="29"/>
    </row>
    <row r="136" spans="2:4" ht="15">
      <c r="B136" s="4" t="s">
        <v>119</v>
      </c>
      <c r="C136" s="101">
        <v>0</v>
      </c>
      <c r="D136" s="4" t="s">
        <v>118</v>
      </c>
    </row>
    <row r="137" spans="2:17" ht="30.75">
      <c r="B137" s="71" t="s">
        <v>154</v>
      </c>
      <c r="C137" s="34">
        <f>IF(O106&lt;0,ABS(O106/C136),0)</f>
        <v>0</v>
      </c>
      <c r="D137" s="4" t="s">
        <v>104</v>
      </c>
      <c r="G137" s="266"/>
      <c r="H137" s="266"/>
      <c r="I137" s="266"/>
      <c r="J137" s="266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63"/>
      <c r="O138" s="263"/>
    </row>
    <row r="139" spans="3:15" ht="15">
      <c r="C139" s="111">
        <v>42033</v>
      </c>
      <c r="D139" s="34">
        <v>2896.5</v>
      </c>
      <c r="F139" s="155" t="s">
        <v>166</v>
      </c>
      <c r="G139" s="277" t="s">
        <v>151</v>
      </c>
      <c r="H139" s="277"/>
      <c r="I139" s="106">
        <f>8909.733</f>
        <v>8909.733</v>
      </c>
      <c r="J139" s="293" t="s">
        <v>161</v>
      </c>
      <c r="K139" s="293"/>
      <c r="L139" s="293"/>
      <c r="M139" s="293"/>
      <c r="N139" s="263"/>
      <c r="O139" s="263"/>
    </row>
    <row r="140" spans="3:15" ht="15">
      <c r="C140" s="111">
        <v>42032</v>
      </c>
      <c r="D140" s="34">
        <v>2838.1</v>
      </c>
      <c r="G140" s="285" t="s">
        <v>155</v>
      </c>
      <c r="H140" s="285"/>
      <c r="I140" s="103">
        <v>0</v>
      </c>
      <c r="J140" s="292" t="s">
        <v>162</v>
      </c>
      <c r="K140" s="292"/>
      <c r="L140" s="292"/>
      <c r="M140" s="292"/>
      <c r="N140" s="263"/>
      <c r="O140" s="263"/>
    </row>
    <row r="141" spans="7:13" ht="15.75" customHeight="1">
      <c r="G141" s="277" t="s">
        <v>148</v>
      </c>
      <c r="H141" s="277"/>
      <c r="I141" s="103">
        <v>0</v>
      </c>
      <c r="J141" s="293" t="s">
        <v>163</v>
      </c>
      <c r="K141" s="293"/>
      <c r="L141" s="293"/>
      <c r="M141" s="293"/>
    </row>
    <row r="142" spans="2:13" ht="18.75" customHeight="1">
      <c r="B142" s="270" t="s">
        <v>160</v>
      </c>
      <c r="C142" s="271"/>
      <c r="D142" s="108">
        <f>132375.63</f>
        <v>132375.63</v>
      </c>
      <c r="E142" s="73"/>
      <c r="F142" s="156" t="s">
        <v>147</v>
      </c>
      <c r="G142" s="277" t="s">
        <v>149</v>
      </c>
      <c r="H142" s="277"/>
      <c r="I142" s="107">
        <f>123465.893</f>
        <v>123465.893</v>
      </c>
      <c r="J142" s="293" t="s">
        <v>164</v>
      </c>
      <c r="K142" s="293"/>
      <c r="L142" s="293"/>
      <c r="M142" s="293"/>
    </row>
    <row r="143" spans="7:12" ht="9.75" customHeight="1">
      <c r="G143" s="261"/>
      <c r="H143" s="261"/>
      <c r="I143" s="90"/>
      <c r="J143" s="91"/>
      <c r="K143" s="91"/>
      <c r="L143" s="91"/>
    </row>
    <row r="144" spans="2:12" ht="22.5" customHeight="1" hidden="1">
      <c r="B144" s="267" t="s">
        <v>167</v>
      </c>
      <c r="C144" s="268"/>
      <c r="D144" s="110">
        <v>0</v>
      </c>
      <c r="E144" s="70" t="s">
        <v>104</v>
      </c>
      <c r="G144" s="261"/>
      <c r="H144" s="261"/>
      <c r="I144" s="90"/>
      <c r="J144" s="91"/>
      <c r="K144" s="91"/>
      <c r="L144" s="91"/>
    </row>
    <row r="145" spans="4:15" ht="15">
      <c r="D145" s="105"/>
      <c r="N145" s="261"/>
      <c r="O145" s="261"/>
    </row>
    <row r="146" spans="4:15" ht="15">
      <c r="D146" s="104"/>
      <c r="I146" s="34"/>
      <c r="N146" s="269"/>
      <c r="O146" s="269"/>
    </row>
    <row r="147" spans="14:15" ht="15">
      <c r="N147" s="261"/>
      <c r="O147" s="261"/>
    </row>
  </sheetData>
  <sheetProtection/>
  <mergeCells count="39">
    <mergeCell ref="G142:H142"/>
    <mergeCell ref="J142:M142"/>
    <mergeCell ref="G143:H143"/>
    <mergeCell ref="N147:O147"/>
    <mergeCell ref="P4:P5"/>
    <mergeCell ref="K5:L5"/>
    <mergeCell ref="G140:H140"/>
    <mergeCell ref="J140:M140"/>
    <mergeCell ref="I4:I5"/>
    <mergeCell ref="B144:C144"/>
    <mergeCell ref="G144:H144"/>
    <mergeCell ref="N145:O145"/>
    <mergeCell ref="N146:O146"/>
    <mergeCell ref="B142:C142"/>
    <mergeCell ref="N4:N5"/>
    <mergeCell ref="N140:O140"/>
    <mergeCell ref="G141:H141"/>
    <mergeCell ref="J141:M141"/>
    <mergeCell ref="D3:D5"/>
    <mergeCell ref="Q5:R5"/>
    <mergeCell ref="G137:J137"/>
    <mergeCell ref="N138:O138"/>
    <mergeCell ref="G139:H139"/>
    <mergeCell ref="J139:M139"/>
    <mergeCell ref="N3:R3"/>
    <mergeCell ref="F3:J3"/>
    <mergeCell ref="M3:M5"/>
    <mergeCell ref="G4:G5"/>
    <mergeCell ref="H4:H5"/>
    <mergeCell ref="E4:E5"/>
    <mergeCell ref="N139:O139"/>
    <mergeCell ref="J4:J5"/>
    <mergeCell ref="A1:P1"/>
    <mergeCell ref="B2:D2"/>
    <mergeCell ref="A3:A5"/>
    <mergeCell ref="B3:B5"/>
    <mergeCell ref="C3:C5"/>
    <mergeCell ref="O4:O5"/>
    <mergeCell ref="F4:F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zoomScale="75" zoomScaleNormal="75" zoomScalePageLayoutView="0" workbookViewId="0" topLeftCell="B1">
      <pane xSplit="2" ySplit="8" topLeftCell="D6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73" sqref="F7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875" style="4" customWidth="1"/>
    <col min="6" max="6" width="11.25390625" style="155" customWidth="1"/>
    <col min="7" max="7" width="13.25390625" style="4" customWidth="1"/>
    <col min="8" max="8" width="10.50390625" style="4" customWidth="1"/>
    <col min="9" max="9" width="12.75390625" style="4" customWidth="1"/>
    <col min="10" max="10" width="9.50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20" width="10.50390625" style="4" bestFit="1" customWidth="1"/>
    <col min="21" max="21" width="13.50390625" style="4" customWidth="1"/>
    <col min="22" max="22" width="11.50390625" style="4" customWidth="1"/>
    <col min="23" max="16384" width="9.125" style="4" customWidth="1"/>
  </cols>
  <sheetData>
    <row r="1" spans="1:18" s="1" customFormat="1" ht="26.25" customHeight="1">
      <c r="A1" s="247" t="s">
        <v>322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117"/>
      <c r="R1" s="118"/>
    </row>
    <row r="2" spans="2:18" s="1" customFormat="1" ht="15.75" customHeight="1">
      <c r="B2" s="248"/>
      <c r="C2" s="248"/>
      <c r="D2" s="24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49"/>
      <c r="B3" s="251"/>
      <c r="C3" s="252" t="s">
        <v>0</v>
      </c>
      <c r="D3" s="274" t="s">
        <v>261</v>
      </c>
      <c r="E3" s="40"/>
      <c r="F3" s="253" t="s">
        <v>107</v>
      </c>
      <c r="G3" s="254"/>
      <c r="H3" s="254"/>
      <c r="I3" s="254"/>
      <c r="J3" s="275"/>
      <c r="K3" s="114"/>
      <c r="L3" s="114"/>
      <c r="M3" s="255" t="s">
        <v>319</v>
      </c>
      <c r="N3" s="236" t="s">
        <v>320</v>
      </c>
      <c r="O3" s="236"/>
      <c r="P3" s="236"/>
      <c r="Q3" s="236"/>
      <c r="R3" s="236"/>
    </row>
    <row r="4" spans="1:18" ht="22.5" customHeight="1">
      <c r="A4" s="249"/>
      <c r="B4" s="251"/>
      <c r="C4" s="252"/>
      <c r="D4" s="274"/>
      <c r="E4" s="237" t="s">
        <v>315</v>
      </c>
      <c r="F4" s="239" t="s">
        <v>116</v>
      </c>
      <c r="G4" s="272" t="s">
        <v>316</v>
      </c>
      <c r="H4" s="243" t="s">
        <v>317</v>
      </c>
      <c r="I4" s="241" t="s">
        <v>217</v>
      </c>
      <c r="J4" s="256" t="s">
        <v>218</v>
      </c>
      <c r="K4" s="116" t="s">
        <v>172</v>
      </c>
      <c r="L4" s="121" t="s">
        <v>171</v>
      </c>
      <c r="M4" s="256"/>
      <c r="N4" s="258" t="s">
        <v>323</v>
      </c>
      <c r="O4" s="241" t="s">
        <v>136</v>
      </c>
      <c r="P4" s="260" t="s">
        <v>135</v>
      </c>
      <c r="Q4" s="122" t="s">
        <v>172</v>
      </c>
      <c r="R4" s="123" t="s">
        <v>171</v>
      </c>
    </row>
    <row r="5" spans="1:19" ht="92.25" customHeight="1">
      <c r="A5" s="250"/>
      <c r="B5" s="251"/>
      <c r="C5" s="252"/>
      <c r="D5" s="274"/>
      <c r="E5" s="238"/>
      <c r="F5" s="240"/>
      <c r="G5" s="273"/>
      <c r="H5" s="244"/>
      <c r="I5" s="242"/>
      <c r="J5" s="257"/>
      <c r="K5" s="245" t="s">
        <v>318</v>
      </c>
      <c r="L5" s="246"/>
      <c r="M5" s="257"/>
      <c r="N5" s="259"/>
      <c r="O5" s="242"/>
      <c r="P5" s="260"/>
      <c r="Q5" s="245" t="s">
        <v>176</v>
      </c>
      <c r="R5" s="24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22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  <c r="V7" s="4" t="s">
        <v>330</v>
      </c>
    </row>
    <row r="8" spans="1:22" s="6" customFormat="1" ht="17.2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540643.5700000001</v>
      </c>
      <c r="F8" s="18">
        <f>F9+F15+F18+F19+F20+F32+F17</f>
        <v>608809.78</v>
      </c>
      <c r="G8" s="18">
        <f>#N/A</f>
        <v>68166.20999999996</v>
      </c>
      <c r="H8" s="45">
        <f>F8/E8*100</f>
        <v>112.60834564258295</v>
      </c>
      <c r="I8" s="31">
        <f>#N/A</f>
        <v>36520.78000000003</v>
      </c>
      <c r="J8" s="31">
        <f>#N/A</f>
        <v>106.38152751494438</v>
      </c>
      <c r="K8" s="18">
        <f>K9+K15+K18+K19+K20+K32</f>
        <v>161806.31600000002</v>
      </c>
      <c r="L8" s="18"/>
      <c r="M8" s="18">
        <f>M9+M15+M18+M19+M20+M32+M17</f>
        <v>37118.100000000006</v>
      </c>
      <c r="N8" s="18">
        <f>#N/A</f>
        <v>66223.55000000003</v>
      </c>
      <c r="O8" s="18">
        <f>#N/A</f>
        <v>29105.450000000033</v>
      </c>
      <c r="P8" s="18">
        <f>#N/A</f>
        <v>2152.37373785015</v>
      </c>
      <c r="Q8" s="18">
        <f>#N/A</f>
        <v>6075.730000000011</v>
      </c>
      <c r="R8" s="18">
        <f>#N/A</f>
        <v>1.3905178535821303</v>
      </c>
      <c r="S8" s="18">
        <f>#N/A</f>
        <v>0</v>
      </c>
      <c r="T8" s="18">
        <f>T9+T15+T18+T19+T20+T32+T17</f>
        <v>48516.9</v>
      </c>
      <c r="U8" s="18">
        <f>U9+U15+U18+U19+U20+U32+U17</f>
        <v>657326.6800000002</v>
      </c>
      <c r="V8" s="18">
        <f>V9+V15+V18+V19+V20+V32+V17</f>
        <v>85037.68000000005</v>
      </c>
    </row>
    <row r="9" spans="1:22" s="6" customFormat="1" ht="15">
      <c r="A9" s="8"/>
      <c r="B9" s="15" t="s">
        <v>223</v>
      </c>
      <c r="C9" s="59">
        <v>11010000</v>
      </c>
      <c r="D9" s="36">
        <v>312190</v>
      </c>
      <c r="E9" s="36">
        <v>289967.12</v>
      </c>
      <c r="F9" s="143">
        <v>329224.03</v>
      </c>
      <c r="G9" s="43">
        <f>#N/A</f>
        <v>39256.91000000003</v>
      </c>
      <c r="H9" s="35">
        <f>#N/A</f>
        <v>113.53840049175233</v>
      </c>
      <c r="I9" s="50">
        <f>#N/A</f>
        <v>17034.030000000028</v>
      </c>
      <c r="J9" s="50">
        <f>#N/A</f>
        <v>105.45630225183382</v>
      </c>
      <c r="K9" s="132">
        <f>F9-349197.38/75*60</f>
        <v>49866.12600000005</v>
      </c>
      <c r="L9" s="132">
        <f>F9/(349197.38/75*60)*100</f>
        <v>117.85026494185038</v>
      </c>
      <c r="M9" s="35">
        <f>E9-жовтень!E9</f>
        <v>20102</v>
      </c>
      <c r="N9" s="35">
        <f>F9-жовтень!F9</f>
        <v>32948.70000000001</v>
      </c>
      <c r="O9" s="47">
        <f>#N/A</f>
        <v>12846.700000000012</v>
      </c>
      <c r="P9" s="50">
        <f>#N/A</f>
        <v>163.90757138593182</v>
      </c>
      <c r="Q9" s="132">
        <f>N9-26568.11</f>
        <v>6380.590000000011</v>
      </c>
      <c r="R9" s="133">
        <f>N9/26568.11</f>
        <v>1.2401597253248353</v>
      </c>
      <c r="S9" s="158"/>
      <c r="T9" s="232">
        <v>35022.9</v>
      </c>
      <c r="U9" s="232">
        <f>F9+T9</f>
        <v>364246.93000000005</v>
      </c>
      <c r="V9" s="232">
        <f>U9-D9</f>
        <v>52056.93000000005</v>
      </c>
    </row>
    <row r="10" spans="1:22" s="6" customFormat="1" ht="15" hidden="1">
      <c r="A10" s="8"/>
      <c r="B10" s="183" t="s">
        <v>253</v>
      </c>
      <c r="C10" s="134">
        <v>11010100</v>
      </c>
      <c r="D10" s="135">
        <v>270410</v>
      </c>
      <c r="E10" s="135">
        <v>252360.82</v>
      </c>
      <c r="F10" s="144">
        <v>292222.53</v>
      </c>
      <c r="G10" s="135">
        <f>#N/A</f>
        <v>39861.71000000002</v>
      </c>
      <c r="H10" s="137">
        <f>#N/A</f>
        <v>115.79552245867643</v>
      </c>
      <c r="I10" s="136">
        <f>#N/A</f>
        <v>21812.530000000028</v>
      </c>
      <c r="J10" s="136">
        <f>#N/A</f>
        <v>108.06646573721387</v>
      </c>
      <c r="K10" s="138">
        <f>F10-310040.1/75*60</f>
        <v>44190.45000000007</v>
      </c>
      <c r="L10" s="138">
        <f>F10/(310040.1/75*60)*100</f>
        <v>117.81642519790185</v>
      </c>
      <c r="M10" s="137">
        <f>E10-жовтень!E10</f>
        <v>16400</v>
      </c>
      <c r="N10" s="137">
        <f>F10-жовтень!F10</f>
        <v>29587.25</v>
      </c>
      <c r="O10" s="138">
        <f>#N/A</f>
        <v>13187.25</v>
      </c>
      <c r="P10" s="136">
        <f>#N/A</f>
        <v>180.41006097560975</v>
      </c>
      <c r="Q10" s="50"/>
      <c r="R10" s="126"/>
      <c r="T10" s="232"/>
      <c r="U10" s="232"/>
      <c r="V10" s="232">
        <f>#N/A</f>
        <v>-270410</v>
      </c>
    </row>
    <row r="11" spans="1:22" s="6" customFormat="1" ht="15" hidden="1">
      <c r="A11" s="8"/>
      <c r="B11" s="183" t="s">
        <v>249</v>
      </c>
      <c r="C11" s="134">
        <v>11010200</v>
      </c>
      <c r="D11" s="135">
        <v>23200</v>
      </c>
      <c r="E11" s="135">
        <v>20969.9</v>
      </c>
      <c r="F11" s="144">
        <v>17520.06</v>
      </c>
      <c r="G11" s="135">
        <f>#N/A</f>
        <v>-3449.84</v>
      </c>
      <c r="H11" s="137">
        <f>#N/A</f>
        <v>83.54861015073986</v>
      </c>
      <c r="I11" s="136">
        <f>#N/A</f>
        <v>-5679.939999999999</v>
      </c>
      <c r="J11" s="136">
        <f>#N/A</f>
        <v>75.5175</v>
      </c>
      <c r="K11" s="138">
        <f>F11-24192.03/75*60</f>
        <v>-1833.5639999999948</v>
      </c>
      <c r="L11" s="138">
        <f>F11/(24192.03/75*60)*100</f>
        <v>90.525991411221</v>
      </c>
      <c r="M11" s="137">
        <f>E11-жовтень!E11</f>
        <v>2052</v>
      </c>
      <c r="N11" s="137">
        <f>F11-жовтень!F11</f>
        <v>1711.0200000000004</v>
      </c>
      <c r="O11" s="138">
        <f>#N/A</f>
        <v>-340.97999999999956</v>
      </c>
      <c r="P11" s="136">
        <f>#N/A</f>
        <v>83.38304093567254</v>
      </c>
      <c r="Q11" s="50"/>
      <c r="R11" s="126"/>
      <c r="T11" s="232"/>
      <c r="U11" s="232"/>
      <c r="V11" s="232">
        <f>#N/A</f>
        <v>-23200</v>
      </c>
    </row>
    <row r="12" spans="1:22" s="6" customFormat="1" ht="15" hidden="1">
      <c r="A12" s="8"/>
      <c r="B12" s="183" t="s">
        <v>252</v>
      </c>
      <c r="C12" s="134">
        <v>11010400</v>
      </c>
      <c r="D12" s="135">
        <v>5800</v>
      </c>
      <c r="E12" s="135">
        <v>4869</v>
      </c>
      <c r="F12" s="144">
        <v>4581.23</v>
      </c>
      <c r="G12" s="135">
        <f>#N/A</f>
        <v>-287.77000000000044</v>
      </c>
      <c r="H12" s="137">
        <f>#N/A</f>
        <v>94.0897514890121</v>
      </c>
      <c r="I12" s="136">
        <f>#N/A</f>
        <v>-1218.7700000000004</v>
      </c>
      <c r="J12" s="136">
        <f>#N/A</f>
        <v>78.98672413793103</v>
      </c>
      <c r="K12" s="138">
        <f>F12-6123.95/75*60</f>
        <v>-317.9300000000003</v>
      </c>
      <c r="L12" s="138">
        <f>F12/(6123.95*60)*100</f>
        <v>1.2468069356107305</v>
      </c>
      <c r="M12" s="137">
        <f>E12-жовтень!E12</f>
        <v>420</v>
      </c>
      <c r="N12" s="137">
        <f>F12-жовтень!F12</f>
        <v>412.08999999999924</v>
      </c>
      <c r="O12" s="138">
        <f>#N/A</f>
        <v>-7.910000000000764</v>
      </c>
      <c r="P12" s="136">
        <f>#N/A</f>
        <v>98.11666666666649</v>
      </c>
      <c r="Q12" s="50"/>
      <c r="R12" s="126"/>
      <c r="T12" s="232"/>
      <c r="U12" s="232"/>
      <c r="V12" s="232">
        <f>#N/A</f>
        <v>-5800</v>
      </c>
    </row>
    <row r="13" spans="1:22" s="6" customFormat="1" ht="15" hidden="1">
      <c r="A13" s="8"/>
      <c r="B13" s="183" t="s">
        <v>250</v>
      </c>
      <c r="C13" s="134">
        <v>11010500</v>
      </c>
      <c r="D13" s="135">
        <v>8400</v>
      </c>
      <c r="E13" s="135">
        <v>7783.4</v>
      </c>
      <c r="F13" s="144">
        <v>6730.35</v>
      </c>
      <c r="G13" s="135">
        <f>#N/A</f>
        <v>-1053.0499999999993</v>
      </c>
      <c r="H13" s="137">
        <f>#N/A</f>
        <v>86.4705655626076</v>
      </c>
      <c r="I13" s="136">
        <f>#N/A</f>
        <v>-1669.6499999999996</v>
      </c>
      <c r="J13" s="136">
        <f>#N/A</f>
        <v>80.1232142857143</v>
      </c>
      <c r="K13" s="138">
        <f>F13-8694.58/75*60</f>
        <v>-225.3139999999994</v>
      </c>
      <c r="L13" s="138">
        <f>F13/(8694.58/75*60)*100</f>
        <v>96.7607118457706</v>
      </c>
      <c r="M13" s="137">
        <f>E13-жовтень!E13</f>
        <v>840</v>
      </c>
      <c r="N13" s="137">
        <f>F13-жовтень!F13</f>
        <v>631.4800000000005</v>
      </c>
      <c r="O13" s="138">
        <f>#N/A</f>
        <v>-208.51999999999953</v>
      </c>
      <c r="P13" s="136">
        <f>#N/A</f>
        <v>75.17619047619053</v>
      </c>
      <c r="Q13" s="50"/>
      <c r="R13" s="126"/>
      <c r="T13" s="232"/>
      <c r="U13" s="232"/>
      <c r="V13" s="232">
        <f>#N/A</f>
        <v>-8400</v>
      </c>
    </row>
    <row r="14" spans="1:22" s="6" customFormat="1" ht="15" hidden="1">
      <c r="A14" s="8"/>
      <c r="B14" s="183" t="s">
        <v>251</v>
      </c>
      <c r="C14" s="134">
        <v>11010900</v>
      </c>
      <c r="D14" s="135">
        <v>4380</v>
      </c>
      <c r="E14" s="135">
        <v>3984</v>
      </c>
      <c r="F14" s="144">
        <v>8169.86</v>
      </c>
      <c r="G14" s="135">
        <f>#N/A</f>
        <v>4185.86</v>
      </c>
      <c r="H14" s="137">
        <f>#N/A</f>
        <v>205.0667670682731</v>
      </c>
      <c r="I14" s="136">
        <f>#N/A</f>
        <v>3789.8599999999997</v>
      </c>
      <c r="J14" s="136">
        <f>#N/A</f>
        <v>186.52648401826482</v>
      </c>
      <c r="K14" s="138">
        <f>F14-146.72/75*60</f>
        <v>8052.4839999999995</v>
      </c>
      <c r="L14" s="138">
        <f>F14/(146.72/75*60)*100</f>
        <v>6960.41780261723</v>
      </c>
      <c r="M14" s="137">
        <f>E14-жовтень!E14</f>
        <v>390</v>
      </c>
      <c r="N14" s="137">
        <f>F14-жовтень!F14</f>
        <v>606.8899999999994</v>
      </c>
      <c r="O14" s="138">
        <f>#N/A</f>
        <v>216.88999999999942</v>
      </c>
      <c r="P14" s="136">
        <f>#N/A</f>
        <v>155.61282051282038</v>
      </c>
      <c r="Q14" s="50"/>
      <c r="R14" s="126"/>
      <c r="T14" s="232"/>
      <c r="U14" s="232"/>
      <c r="V14" s="232">
        <f>#N/A</f>
        <v>-4380</v>
      </c>
    </row>
    <row r="15" spans="1:22" s="6" customFormat="1" ht="30.75">
      <c r="A15" s="8"/>
      <c r="B15" s="14" t="s">
        <v>19</v>
      </c>
      <c r="C15" s="59">
        <v>11020200</v>
      </c>
      <c r="D15" s="36">
        <v>500</v>
      </c>
      <c r="E15" s="36">
        <v>171.4</v>
      </c>
      <c r="F15" s="143">
        <v>-536.92</v>
      </c>
      <c r="G15" s="43">
        <f>#N/A</f>
        <v>-708.3199999999999</v>
      </c>
      <c r="H15" s="35"/>
      <c r="I15" s="50">
        <f>#N/A</f>
        <v>-1036.92</v>
      </c>
      <c r="J15" s="50">
        <f>F15/D15*100</f>
        <v>-107.38399999999999</v>
      </c>
      <c r="K15" s="53">
        <f>F15-(-1352.56)</f>
        <v>815.64</v>
      </c>
      <c r="L15" s="53">
        <f>F15/(-1352.56)*100</f>
        <v>39.696575382977464</v>
      </c>
      <c r="M15" s="35">
        <f>E15-жовтень!E15</f>
        <v>0</v>
      </c>
      <c r="N15" s="35">
        <f>F15-жовтень!F15</f>
        <v>53.950000000000045</v>
      </c>
      <c r="O15" s="47">
        <f>#N/A</f>
        <v>53.950000000000045</v>
      </c>
      <c r="P15" s="50"/>
      <c r="Q15" s="50">
        <f>N15-358.81</f>
        <v>-304.85999999999996</v>
      </c>
      <c r="R15" s="126">
        <f>N15/358.81</f>
        <v>0.15035812825729508</v>
      </c>
      <c r="T15" s="232">
        <v>0</v>
      </c>
      <c r="U15" s="232">
        <f>F15+T15</f>
        <v>-536.92</v>
      </c>
      <c r="V15" s="232">
        <f>#N/A</f>
        <v>-1036.92</v>
      </c>
    </row>
    <row r="16" spans="1:22" s="6" customFormat="1" ht="15" hidden="1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0</v>
      </c>
      <c r="G16" s="135">
        <f>#N/A</f>
        <v>0</v>
      </c>
      <c r="H16" s="137"/>
      <c r="I16" s="136">
        <f>#N/A</f>
        <v>0</v>
      </c>
      <c r="J16" s="136"/>
      <c r="K16" s="138">
        <f>F16-(-381.9)</f>
        <v>381.9</v>
      </c>
      <c r="L16" s="138">
        <f>F16/(-381.9)*100</f>
        <v>0</v>
      </c>
      <c r="M16" s="35">
        <f>E16-жовтень!E16</f>
        <v>0</v>
      </c>
      <c r="N16" s="35">
        <f>F16-жовтень!F16</f>
        <v>0</v>
      </c>
      <c r="O16" s="138">
        <f>#N/A</f>
        <v>0</v>
      </c>
      <c r="P16" s="50"/>
      <c r="Q16" s="136">
        <f>N16-358.81</f>
        <v>-358.81</v>
      </c>
      <c r="R16" s="141">
        <f>N16/358.79</f>
        <v>0</v>
      </c>
      <c r="T16" s="232"/>
      <c r="U16" s="232">
        <f>#N/A</f>
        <v>0</v>
      </c>
      <c r="V16" s="232">
        <f>#N/A</f>
        <v>0</v>
      </c>
    </row>
    <row r="17" spans="1:22" s="6" customFormat="1" ht="30.7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0.14</v>
      </c>
      <c r="G17" s="135"/>
      <c r="H17" s="137"/>
      <c r="I17" s="136"/>
      <c r="J17" s="136"/>
      <c r="K17" s="138">
        <f>F17-0.04</f>
        <v>0.1</v>
      </c>
      <c r="L17" s="138"/>
      <c r="M17" s="35">
        <f>E17-жовтень!E17</f>
        <v>0</v>
      </c>
      <c r="N17" s="35">
        <f>F17-жовтень!F17</f>
        <v>0</v>
      </c>
      <c r="O17" s="138"/>
      <c r="P17" s="50"/>
      <c r="Q17" s="136"/>
      <c r="R17" s="141"/>
      <c r="T17" s="232">
        <v>0</v>
      </c>
      <c r="U17" s="232">
        <f>#N/A</f>
        <v>0.14</v>
      </c>
      <c r="V17" s="232">
        <f>#N/A</f>
        <v>0.14</v>
      </c>
    </row>
    <row r="18" spans="1:22" s="6" customFormat="1" ht="30.75">
      <c r="A18" s="8"/>
      <c r="B18" s="15" t="s">
        <v>206</v>
      </c>
      <c r="C18" s="59">
        <v>13030200</v>
      </c>
      <c r="D18" s="36">
        <v>19</v>
      </c>
      <c r="E18" s="36">
        <v>19</v>
      </c>
      <c r="F18" s="143">
        <v>107.4</v>
      </c>
      <c r="G18" s="43">
        <f>#N/A</f>
        <v>88.4</v>
      </c>
      <c r="H18" s="35">
        <f>#N/A</f>
        <v>565.2631578947369</v>
      </c>
      <c r="I18" s="50">
        <f>#N/A</f>
        <v>88.4</v>
      </c>
      <c r="J18" s="50">
        <f>F18/D18*100</f>
        <v>565.2631578947369</v>
      </c>
      <c r="K18" s="53">
        <f>F18-31.36</f>
        <v>76.04</v>
      </c>
      <c r="L18" s="138">
        <f>F18/31.36*100</f>
        <v>342.4744897959184</v>
      </c>
      <c r="M18" s="35">
        <f>E18-жовтень!E18</f>
        <v>6</v>
      </c>
      <c r="N18" s="35">
        <f>F18-жовтень!F18</f>
        <v>91.60000000000001</v>
      </c>
      <c r="O18" s="47">
        <f>#N/A</f>
        <v>85.60000000000001</v>
      </c>
      <c r="P18" s="50">
        <f>#N/A</f>
        <v>1526.6666666666667</v>
      </c>
      <c r="Q18" s="50"/>
      <c r="R18" s="126"/>
      <c r="T18" s="232">
        <v>0</v>
      </c>
      <c r="U18" s="232">
        <f>#N/A</f>
        <v>107.4</v>
      </c>
      <c r="V18" s="232">
        <f>#N/A</f>
        <v>88.4</v>
      </c>
    </row>
    <row r="19" spans="1:22" s="6" customFormat="1" ht="46.5">
      <c r="A19" s="8"/>
      <c r="B19" s="60" t="s">
        <v>204</v>
      </c>
      <c r="C19" s="59">
        <v>14040000</v>
      </c>
      <c r="D19" s="43">
        <f>29950+32260</f>
        <v>62210</v>
      </c>
      <c r="E19" s="43">
        <v>61662.75</v>
      </c>
      <c r="F19" s="168">
        <v>65538.97</v>
      </c>
      <c r="G19" s="43">
        <f>#N/A</f>
        <v>3876.220000000001</v>
      </c>
      <c r="H19" s="35">
        <f>#N/A</f>
        <v>106.28616141836036</v>
      </c>
      <c r="I19" s="50">
        <f>#N/A</f>
        <v>3328.970000000001</v>
      </c>
      <c r="J19" s="178">
        <f>F19/D19*100</f>
        <v>105.35118148207683</v>
      </c>
      <c r="K19" s="179">
        <f>F19-0</f>
        <v>65538.97</v>
      </c>
      <c r="L19" s="180"/>
      <c r="M19" s="35">
        <f>E19-жовтень!E19</f>
        <v>4140</v>
      </c>
      <c r="N19" s="35">
        <f>F19-жовтень!F19</f>
        <v>7053.919999999998</v>
      </c>
      <c r="O19" s="47">
        <f>#N/A</f>
        <v>2913.9199999999983</v>
      </c>
      <c r="P19" s="50">
        <f>#N/A</f>
        <v>170.3845410628019</v>
      </c>
      <c r="Q19" s="139"/>
      <c r="R19" s="140"/>
      <c r="T19" s="232">
        <v>4547.3</v>
      </c>
      <c r="U19" s="232">
        <f>#N/A</f>
        <v>70086.27</v>
      </c>
      <c r="V19" s="232">
        <f>#N/A</f>
        <v>7876.270000000004</v>
      </c>
    </row>
    <row r="20" spans="1:22" s="6" customFormat="1" ht="1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181323.5</v>
      </c>
      <c r="F20" s="169">
        <f>F21+F25+F27+F26</f>
        <v>207711.81</v>
      </c>
      <c r="G20" s="43">
        <f>#N/A</f>
        <v>26388.309999999998</v>
      </c>
      <c r="H20" s="35">
        <f>#N/A</f>
        <v>114.5531660264665</v>
      </c>
      <c r="I20" s="50">
        <f>#N/A</f>
        <v>17841.809999999998</v>
      </c>
      <c r="J20" s="178">
        <f>#N/A</f>
        <v>109.39685574340339</v>
      </c>
      <c r="K20" s="178">
        <f>K21+K25+K26+K27</f>
        <v>47103.95999999999</v>
      </c>
      <c r="L20" s="136"/>
      <c r="M20" s="35">
        <f>E20-жовтень!E20</f>
        <v>11129.600000000006</v>
      </c>
      <c r="N20" s="35">
        <f>F20-жовтень!F20</f>
        <v>24896.780000000028</v>
      </c>
      <c r="O20" s="47">
        <f>#N/A</f>
        <v>13767.180000000022</v>
      </c>
      <c r="P20" s="50">
        <f>#N/A</f>
        <v>223.69878522139172</v>
      </c>
      <c r="Q20" s="139"/>
      <c r="R20" s="140"/>
      <c r="T20" s="232">
        <f>T21+T25+T26+T27</f>
        <v>8946.5</v>
      </c>
      <c r="U20" s="232">
        <f>#N/A</f>
        <v>216658.31</v>
      </c>
      <c r="V20" s="232">
        <f>#N/A</f>
        <v>26788.309999999998</v>
      </c>
    </row>
    <row r="21" spans="1:22" s="6" customFormat="1" ht="1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104515</v>
      </c>
      <c r="F21" s="169">
        <f>F22+F23+F24</f>
        <v>109750.31</v>
      </c>
      <c r="G21" s="43">
        <f>#N/A</f>
        <v>5235.309999999998</v>
      </c>
      <c r="H21" s="35">
        <f>#N/A</f>
        <v>105.00914701239057</v>
      </c>
      <c r="I21" s="50">
        <f>#N/A</f>
        <v>-549.6900000000023</v>
      </c>
      <c r="J21" s="178">
        <f>#N/A</f>
        <v>99.50164097914778</v>
      </c>
      <c r="K21" s="178">
        <f>K22+K23+K24</f>
        <v>34297.869999999995</v>
      </c>
      <c r="L21" s="136"/>
      <c r="M21" s="35">
        <f>E21-жовтень!E21</f>
        <v>8232.600000000006</v>
      </c>
      <c r="N21" s="35">
        <f>F21-жовтень!F21</f>
        <v>8975.520000000004</v>
      </c>
      <c r="O21" s="47">
        <f>#N/A</f>
        <v>742.9199999999983</v>
      </c>
      <c r="P21" s="50">
        <f>#N/A</f>
        <v>109.02412360615112</v>
      </c>
      <c r="Q21" s="139"/>
      <c r="R21" s="140"/>
      <c r="T21" s="233">
        <f>T22+T23+T24</f>
        <v>6185</v>
      </c>
      <c r="U21" s="232">
        <f>#N/A</f>
        <v>115935.31</v>
      </c>
      <c r="V21" s="232">
        <f>#N/A</f>
        <v>5635.309999999998</v>
      </c>
    </row>
    <row r="22" spans="1:22" s="6" customFormat="1" ht="15">
      <c r="A22" s="8"/>
      <c r="B22" s="69" t="s">
        <v>209</v>
      </c>
      <c r="C22" s="59"/>
      <c r="D22" s="135">
        <f>1000+9700</f>
        <v>10700</v>
      </c>
      <c r="E22" s="135">
        <f>10600+100</f>
        <v>10700</v>
      </c>
      <c r="F22" s="144">
        <v>12713.66</v>
      </c>
      <c r="G22" s="135">
        <f>#N/A</f>
        <v>2013.6599999999999</v>
      </c>
      <c r="H22" s="137">
        <f>#N/A</f>
        <v>118.81925233644859</v>
      </c>
      <c r="I22" s="136">
        <f>#N/A</f>
        <v>2013.6599999999999</v>
      </c>
      <c r="J22" s="136">
        <f>#N/A</f>
        <v>118.81925233644859</v>
      </c>
      <c r="K22" s="136">
        <f>F22-454.67</f>
        <v>12258.99</v>
      </c>
      <c r="L22" s="136">
        <f>F22/454.97*100</f>
        <v>2794.395234850649</v>
      </c>
      <c r="M22" s="137">
        <f>E22-жовтень!E22</f>
        <v>54.600000000000364</v>
      </c>
      <c r="N22" s="137">
        <f>F22-жовтень!F22</f>
        <v>227.53000000000065</v>
      </c>
      <c r="O22" s="138">
        <f>#N/A</f>
        <v>172.9300000000003</v>
      </c>
      <c r="P22" s="136">
        <f>#N/A</f>
        <v>416.72161172161015</v>
      </c>
      <c r="Q22" s="139"/>
      <c r="R22" s="140"/>
      <c r="T22" s="232">
        <v>300</v>
      </c>
      <c r="U22" s="232">
        <f>#N/A</f>
        <v>13013.66</v>
      </c>
      <c r="V22" s="232">
        <f>#N/A</f>
        <v>2313.66</v>
      </c>
    </row>
    <row r="23" spans="1:22" s="6" customFormat="1" ht="15">
      <c r="A23" s="8"/>
      <c r="B23" s="69" t="s">
        <v>210</v>
      </c>
      <c r="C23" s="59"/>
      <c r="D23" s="135">
        <f>1500+600</f>
        <v>2100</v>
      </c>
      <c r="E23" s="135">
        <v>2100</v>
      </c>
      <c r="F23" s="144">
        <v>3649.2</v>
      </c>
      <c r="G23" s="135">
        <f>#N/A</f>
        <v>1549.1999999999998</v>
      </c>
      <c r="H23" s="137">
        <f>#N/A</f>
        <v>173.77142857142854</v>
      </c>
      <c r="I23" s="136">
        <f>#N/A</f>
        <v>1549.1999999999998</v>
      </c>
      <c r="J23" s="136">
        <f>#N/A</f>
        <v>173.77142857142854</v>
      </c>
      <c r="K23" s="136">
        <f>F23-0</f>
        <v>3649.2</v>
      </c>
      <c r="L23" s="136"/>
      <c r="M23" s="137">
        <f>E23-жовтень!E23</f>
        <v>8</v>
      </c>
      <c r="N23" s="137">
        <f>F23-жовтень!F23</f>
        <v>155.23999999999978</v>
      </c>
      <c r="O23" s="138">
        <f>#N/A</f>
        <v>147.23999999999978</v>
      </c>
      <c r="P23" s="136"/>
      <c r="Q23" s="139"/>
      <c r="R23" s="140"/>
      <c r="T23" s="232">
        <v>100</v>
      </c>
      <c r="U23" s="232">
        <f>#N/A</f>
        <v>3749.2</v>
      </c>
      <c r="V23" s="232">
        <f>#N/A</f>
        <v>1649.1999999999998</v>
      </c>
    </row>
    <row r="24" spans="1:22" s="6" customFormat="1" ht="15">
      <c r="A24" s="8"/>
      <c r="B24" s="69" t="s">
        <v>211</v>
      </c>
      <c r="C24" s="59"/>
      <c r="D24" s="135">
        <f>95700+1800</f>
        <v>97500</v>
      </c>
      <c r="E24" s="135">
        <v>91715</v>
      </c>
      <c r="F24" s="144">
        <v>93387.45</v>
      </c>
      <c r="G24" s="135">
        <f>#N/A</f>
        <v>1672.449999999997</v>
      </c>
      <c r="H24" s="137">
        <f>#N/A</f>
        <v>101.82352941176471</v>
      </c>
      <c r="I24" s="136">
        <f>#N/A</f>
        <v>-4112.550000000003</v>
      </c>
      <c r="J24" s="136">
        <f>#N/A</f>
        <v>95.782</v>
      </c>
      <c r="K24" s="224">
        <f>F24-74997.77</f>
        <v>18389.679999999993</v>
      </c>
      <c r="L24" s="224">
        <f>F24/74997.77*100</f>
        <v>124.52030240365812</v>
      </c>
      <c r="M24" s="137">
        <f>E24-жовтень!E24</f>
        <v>8170</v>
      </c>
      <c r="N24" s="137">
        <f>F24-жовтень!F24</f>
        <v>8592.75</v>
      </c>
      <c r="O24" s="138">
        <f>#N/A</f>
        <v>422.75</v>
      </c>
      <c r="P24" s="136">
        <f>#N/A</f>
        <v>105.17441860465115</v>
      </c>
      <c r="Q24" s="139"/>
      <c r="R24" s="140"/>
      <c r="T24" s="232">
        <v>5785</v>
      </c>
      <c r="U24" s="232">
        <f>#N/A</f>
        <v>99172.45</v>
      </c>
      <c r="V24" s="232">
        <f>#N/A</f>
        <v>1672.449999999997</v>
      </c>
    </row>
    <row r="25" spans="1:22" s="6" customFormat="1" ht="15">
      <c r="A25" s="8"/>
      <c r="B25" s="60" t="s">
        <v>244</v>
      </c>
      <c r="C25" s="170">
        <v>18030000</v>
      </c>
      <c r="D25" s="43">
        <v>70</v>
      </c>
      <c r="E25" s="43">
        <v>63.5</v>
      </c>
      <c r="F25" s="168">
        <v>74.09</v>
      </c>
      <c r="G25" s="43">
        <f>#N/A</f>
        <v>10.590000000000003</v>
      </c>
      <c r="H25" s="35">
        <f>#N/A</f>
        <v>116.6771653543307</v>
      </c>
      <c r="I25" s="50">
        <f>#N/A</f>
        <v>4.090000000000003</v>
      </c>
      <c r="J25" s="178">
        <f>#N/A</f>
        <v>105.84285714285716</v>
      </c>
      <c r="K25" s="178">
        <f>F25-65.36</f>
        <v>8.730000000000004</v>
      </c>
      <c r="L25" s="178">
        <f>F25/65.36*100</f>
        <v>113.35679314565483</v>
      </c>
      <c r="M25" s="35">
        <f>E25-жовтень!E25</f>
        <v>12</v>
      </c>
      <c r="N25" s="35">
        <f>F25-жовтень!F25</f>
        <v>13.450000000000003</v>
      </c>
      <c r="O25" s="47">
        <f>#N/A</f>
        <v>1.4500000000000028</v>
      </c>
      <c r="P25" s="50">
        <f>#N/A</f>
        <v>112.08333333333336</v>
      </c>
      <c r="Q25" s="139"/>
      <c r="R25" s="140"/>
      <c r="T25" s="233">
        <v>6.5</v>
      </c>
      <c r="U25" s="232">
        <f>#N/A</f>
        <v>80.59</v>
      </c>
      <c r="V25" s="232">
        <f>#N/A</f>
        <v>10.590000000000003</v>
      </c>
    </row>
    <row r="26" spans="1:22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-772.87</v>
      </c>
      <c r="G26" s="43">
        <f>#N/A</f>
        <v>-772.87</v>
      </c>
      <c r="H26" s="35"/>
      <c r="I26" s="50">
        <f>#N/A</f>
        <v>-772.87</v>
      </c>
      <c r="J26" s="136"/>
      <c r="K26" s="178">
        <f>F26-5772.25</f>
        <v>-6545.12</v>
      </c>
      <c r="L26" s="178">
        <f>F26/5772.25*100</f>
        <v>-13.389406210749707</v>
      </c>
      <c r="M26" s="35">
        <f>E26-жовтень!E26</f>
        <v>0</v>
      </c>
      <c r="N26" s="35">
        <f>F26-жовтень!F26</f>
        <v>-31.92999999999995</v>
      </c>
      <c r="O26" s="47">
        <f>#N/A</f>
        <v>-31.92999999999995</v>
      </c>
      <c r="P26" s="50"/>
      <c r="Q26" s="139"/>
      <c r="R26" s="140"/>
      <c r="T26" s="233">
        <v>0</v>
      </c>
      <c r="U26" s="232">
        <f>#N/A</f>
        <v>-772.87</v>
      </c>
      <c r="V26" s="232">
        <f>#N/A</f>
        <v>-772.87</v>
      </c>
    </row>
    <row r="27" spans="1:22" s="6" customFormat="1" ht="15">
      <c r="A27" s="8"/>
      <c r="B27" s="60" t="s">
        <v>246</v>
      </c>
      <c r="C27" s="170">
        <v>18050000</v>
      </c>
      <c r="D27" s="43">
        <f>68500+11000</f>
        <v>79500</v>
      </c>
      <c r="E27" s="43">
        <v>76745</v>
      </c>
      <c r="F27" s="168">
        <v>98660.28</v>
      </c>
      <c r="G27" s="43">
        <f>#N/A</f>
        <v>21915.28</v>
      </c>
      <c r="H27" s="35">
        <f>#N/A</f>
        <v>128.55597107303407</v>
      </c>
      <c r="I27" s="50">
        <f>#N/A</f>
        <v>19160.28</v>
      </c>
      <c r="J27" s="178">
        <f>#N/A</f>
        <v>124.10098113207546</v>
      </c>
      <c r="K27" s="132">
        <f>F27-79317.8</f>
        <v>19342.479999999996</v>
      </c>
      <c r="L27" s="132">
        <f>F27/79317.8*100</f>
        <v>124.38605205893253</v>
      </c>
      <c r="M27" s="35">
        <f>E27-жовтень!E27</f>
        <v>2885</v>
      </c>
      <c r="N27" s="35">
        <f>F27-жовтень!F27</f>
        <v>15939.740000000005</v>
      </c>
      <c r="O27" s="47">
        <f>#N/A</f>
        <v>13054.740000000005</v>
      </c>
      <c r="P27" s="50">
        <f>#N/A</f>
        <v>552.5039861351821</v>
      </c>
      <c r="Q27" s="139"/>
      <c r="R27" s="140"/>
      <c r="T27" s="233">
        <v>2755</v>
      </c>
      <c r="U27" s="232">
        <f>#N/A</f>
        <v>101415.28</v>
      </c>
      <c r="V27" s="232">
        <f>#N/A</f>
        <v>21915.28</v>
      </c>
    </row>
    <row r="28" spans="1:22" s="6" customFormat="1" ht="1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-1.15</v>
      </c>
      <c r="G28" s="135">
        <f>#N/A</f>
        <v>-1.15</v>
      </c>
      <c r="H28" s="137"/>
      <c r="I28" s="136">
        <f>#N/A</f>
        <v>-1.15</v>
      </c>
      <c r="J28" s="136"/>
      <c r="K28" s="139">
        <f>F28-1.21</f>
        <v>-2.36</v>
      </c>
      <c r="L28" s="139">
        <f>F28/1.21*100</f>
        <v>-95.04132231404958</v>
      </c>
      <c r="M28" s="137">
        <f>E28-жовтень!E28</f>
        <v>0</v>
      </c>
      <c r="N28" s="137">
        <f>F28-вересень!F28</f>
        <v>0.020000000000000018</v>
      </c>
      <c r="O28" s="138">
        <f>#N/A</f>
        <v>0.020000000000000018</v>
      </c>
      <c r="P28" s="136"/>
      <c r="Q28" s="139"/>
      <c r="R28" s="140"/>
      <c r="T28" s="232"/>
      <c r="U28" s="232">
        <f>#N/A</f>
        <v>-1.15</v>
      </c>
      <c r="V28" s="232">
        <f>#N/A</f>
        <v>-1.15</v>
      </c>
    </row>
    <row r="29" spans="1:22" s="6" customFormat="1" ht="15" hidden="1">
      <c r="A29" s="8"/>
      <c r="B29" s="69" t="s">
        <v>255</v>
      </c>
      <c r="C29" s="134">
        <v>18050300</v>
      </c>
      <c r="D29" s="135">
        <v>19200</v>
      </c>
      <c r="E29" s="135">
        <v>18810</v>
      </c>
      <c r="F29" s="144">
        <v>23706.55</v>
      </c>
      <c r="G29" s="135">
        <f>#N/A</f>
        <v>4896.549999999999</v>
      </c>
      <c r="H29" s="137">
        <f>#N/A</f>
        <v>126.03163211057948</v>
      </c>
      <c r="I29" s="136">
        <f>#N/A</f>
        <v>4506.549999999999</v>
      </c>
      <c r="J29" s="136">
        <f>#N/A</f>
        <v>123.47161458333333</v>
      </c>
      <c r="K29" s="139">
        <f>F29-22211.27</f>
        <v>1495.2799999999988</v>
      </c>
      <c r="L29" s="139">
        <f>F29/22211.27*100</f>
        <v>106.73207790459527</v>
      </c>
      <c r="M29" s="137">
        <f>E29-жовтень!E29</f>
        <v>730</v>
      </c>
      <c r="N29" s="137">
        <f>F29-жовтень!F29</f>
        <v>3743.2199999999975</v>
      </c>
      <c r="O29" s="138">
        <f>#N/A</f>
        <v>3013.2199999999975</v>
      </c>
      <c r="P29" s="136"/>
      <c r="Q29" s="139"/>
      <c r="R29" s="140"/>
      <c r="T29" s="232"/>
      <c r="U29" s="232">
        <f>#N/A</f>
        <v>23706.55</v>
      </c>
      <c r="V29" s="232">
        <f>#N/A</f>
        <v>4506.549999999999</v>
      </c>
    </row>
    <row r="30" spans="1:22" s="6" customFormat="1" ht="15" hidden="1">
      <c r="A30" s="8"/>
      <c r="B30" s="69" t="s">
        <v>256</v>
      </c>
      <c r="C30" s="134">
        <v>18050400</v>
      </c>
      <c r="D30" s="135">
        <v>60300</v>
      </c>
      <c r="E30" s="135">
        <v>57935</v>
      </c>
      <c r="F30" s="144">
        <v>74922.37</v>
      </c>
      <c r="G30" s="135">
        <f>#N/A</f>
        <v>16987.369999999995</v>
      </c>
      <c r="H30" s="137">
        <f>#N/A</f>
        <v>129.32142918788296</v>
      </c>
      <c r="I30" s="136">
        <f>#N/A</f>
        <v>14622.369999999995</v>
      </c>
      <c r="J30" s="136">
        <f>#N/A</f>
        <v>124.24936981757877</v>
      </c>
      <c r="K30" s="139">
        <f>F30-57105.32</f>
        <v>17817.049999999996</v>
      </c>
      <c r="L30" s="139">
        <f>F30/57105.32*100</f>
        <v>131.20033299874686</v>
      </c>
      <c r="M30" s="137">
        <f>E30-жовтень!E30</f>
        <v>2155</v>
      </c>
      <c r="N30" s="137">
        <f>F30-жовтень!F30</f>
        <v>12192.879999999997</v>
      </c>
      <c r="O30" s="138">
        <f>#N/A</f>
        <v>10037.879999999997</v>
      </c>
      <c r="P30" s="136"/>
      <c r="Q30" s="139"/>
      <c r="R30" s="140"/>
      <c r="T30" s="232"/>
      <c r="U30" s="232">
        <f>#N/A</f>
        <v>74922.37</v>
      </c>
      <c r="V30" s="232">
        <f>#N/A</f>
        <v>14622.369999999995</v>
      </c>
    </row>
    <row r="31" spans="1:22" s="6" customFormat="1" ht="1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32.51</v>
      </c>
      <c r="G31" s="135">
        <f>#N/A</f>
        <v>32.51</v>
      </c>
      <c r="H31" s="137"/>
      <c r="I31" s="136">
        <f>#N/A</f>
        <v>32.51</v>
      </c>
      <c r="J31" s="136"/>
      <c r="K31" s="139">
        <f>F31-0</f>
        <v>32.51</v>
      </c>
      <c r="L31" s="139"/>
      <c r="M31" s="137">
        <f>E31-жовтень!E31</f>
        <v>0</v>
      </c>
      <c r="N31" s="137">
        <f>F31-жовтень!F31</f>
        <v>3.6199999999999974</v>
      </c>
      <c r="O31" s="138">
        <f>#N/A</f>
        <v>3.6199999999999974</v>
      </c>
      <c r="P31" s="136"/>
      <c r="Q31" s="139"/>
      <c r="R31" s="140"/>
      <c r="T31" s="232"/>
      <c r="U31" s="232">
        <f>#N/A</f>
        <v>32.51</v>
      </c>
      <c r="V31" s="232">
        <f>#N/A</f>
        <v>32.51</v>
      </c>
    </row>
    <row r="32" spans="1:22" s="6" customFormat="1" ht="15">
      <c r="A32" s="8"/>
      <c r="B32" s="60" t="s">
        <v>132</v>
      </c>
      <c r="C32" s="59">
        <v>19010000</v>
      </c>
      <c r="D32" s="43">
        <v>7500</v>
      </c>
      <c r="E32" s="43">
        <v>7499.8</v>
      </c>
      <c r="F32" s="168">
        <v>6764.35</v>
      </c>
      <c r="G32" s="43">
        <f>#N/A</f>
        <v>-735.4499999999998</v>
      </c>
      <c r="H32" s="35">
        <f>#N/A</f>
        <v>90.19373849969334</v>
      </c>
      <c r="I32" s="50">
        <f>#N/A</f>
        <v>-735.6499999999996</v>
      </c>
      <c r="J32" s="178">
        <f>#N/A</f>
        <v>90.19133333333333</v>
      </c>
      <c r="K32" s="178">
        <f>F32-8358.77</f>
        <v>-1594.42</v>
      </c>
      <c r="L32" s="178">
        <f>F32/8358.77*100</f>
        <v>80.92518396845469</v>
      </c>
      <c r="M32" s="35">
        <f>E32-жовтень!E32</f>
        <v>1740.5</v>
      </c>
      <c r="N32" s="35">
        <f>F32-жовтень!F32</f>
        <v>1178.6000000000004</v>
      </c>
      <c r="O32" s="47">
        <f>#N/A</f>
        <v>-561.8999999999996</v>
      </c>
      <c r="P32" s="50">
        <f>#N/A</f>
        <v>67.71617351335824</v>
      </c>
      <c r="Q32" s="139"/>
      <c r="R32" s="140"/>
      <c r="T32" s="232">
        <v>0.2</v>
      </c>
      <c r="U32" s="232">
        <f>#N/A</f>
        <v>6764.55</v>
      </c>
      <c r="V32" s="232">
        <f>#N/A</f>
        <v>-735.4499999999998</v>
      </c>
    </row>
    <row r="33" spans="1:22" s="6" customFormat="1" ht="17.25">
      <c r="A33" s="7"/>
      <c r="B33" s="19" t="s">
        <v>70</v>
      </c>
      <c r="C33" s="93">
        <v>20000000</v>
      </c>
      <c r="D33" s="18">
        <f>D34+D35+D36+D37+D38+D41+D42+D47+D48+D52+D40+D39</f>
        <v>37339.57</v>
      </c>
      <c r="E33" s="18">
        <f>E34+E35+E36+E37+E38+E41+E42+E47+E48+E52+E40+E39</f>
        <v>35944.57</v>
      </c>
      <c r="F33" s="18">
        <f>F34+F35+F36+F37+F38+F41+F42+F47+F48+F52+F40+F39+F51</f>
        <v>41741.88</v>
      </c>
      <c r="G33" s="44">
        <f>#N/A</f>
        <v>5797.309999999998</v>
      </c>
      <c r="H33" s="45">
        <f>#N/A</f>
        <v>116.128472256032</v>
      </c>
      <c r="I33" s="31">
        <f>#N/A</f>
        <v>4402.309999999998</v>
      </c>
      <c r="J33" s="31">
        <f>#N/A</f>
        <v>111.78993223542746</v>
      </c>
      <c r="K33" s="18">
        <f>K34+K35+K36+K37+K38+K41+K42+K47+K48+K52+K40</f>
        <v>29842.15</v>
      </c>
      <c r="L33" s="18"/>
      <c r="M33" s="18">
        <f>M34+M35+M36+M37+M38+M41+M42+M47+M48+M52+M40+M39</f>
        <v>3394.300000000001</v>
      </c>
      <c r="N33" s="18">
        <f>#N/A</f>
        <v>6660.129999999997</v>
      </c>
      <c r="O33" s="18">
        <f>#N/A</f>
        <v>2827.889999999997</v>
      </c>
      <c r="P33" s="18" t="e">
        <f>#N/A</f>
        <v>#DIV/0!</v>
      </c>
      <c r="Q33" s="18">
        <f>#N/A</f>
        <v>5141.5599999999995</v>
      </c>
      <c r="R33" s="18" t="e">
        <f>#N/A</f>
        <v>#DIV/0!</v>
      </c>
      <c r="S33" s="231">
        <f>#N/A</f>
        <v>0</v>
      </c>
      <c r="T33" s="18">
        <f>#N/A</f>
        <v>6769.9</v>
      </c>
      <c r="U33" s="18">
        <f>U34+U35+U36+U37+U38+U41+U42+U47+U48+U52+U40+U39+U51</f>
        <v>48511.78</v>
      </c>
      <c r="V33" s="18">
        <f>V34+V35+V36+V37+V38+V41+V42+V47+V48+V52+V40+V39+V51</f>
        <v>11172.209999999994</v>
      </c>
    </row>
    <row r="34" spans="1:22" s="6" customFormat="1" ht="46.5">
      <c r="A34" s="8"/>
      <c r="B34" s="60" t="s">
        <v>321</v>
      </c>
      <c r="C34" s="59">
        <v>21010301</v>
      </c>
      <c r="D34" s="36">
        <f>200-100-100</f>
        <v>0</v>
      </c>
      <c r="E34" s="36">
        <f>140-40</f>
        <v>100</v>
      </c>
      <c r="F34" s="143">
        <v>0.21</v>
      </c>
      <c r="G34" s="43">
        <f>#N/A</f>
        <v>-99.79</v>
      </c>
      <c r="H34" s="35">
        <f>#N/A</f>
        <v>0.21</v>
      </c>
      <c r="I34" s="50">
        <f>#N/A</f>
        <v>0.21</v>
      </c>
      <c r="J34" s="50" t="e">
        <f>#N/A</f>
        <v>#DIV/0!</v>
      </c>
      <c r="K34" s="50">
        <f>F34-153.52</f>
        <v>-153.31</v>
      </c>
      <c r="L34" s="50">
        <f>F34/153.52*100</f>
        <v>0.13678999478895257</v>
      </c>
      <c r="M34" s="35">
        <f>E34-жовтень!E34</f>
        <v>0</v>
      </c>
      <c r="N34" s="35">
        <f>F34-жовтень!F34</f>
        <v>58</v>
      </c>
      <c r="O34" s="47">
        <f>#N/A</f>
        <v>58</v>
      </c>
      <c r="P34" s="50" t="e">
        <f>N34/M34*100</f>
        <v>#DIV/0!</v>
      </c>
      <c r="Q34" s="50">
        <f>N34-0</f>
        <v>58</v>
      </c>
      <c r="R34" s="126" t="e">
        <f>N34/0</f>
        <v>#DIV/0!</v>
      </c>
      <c r="T34" s="232">
        <v>0</v>
      </c>
      <c r="U34" s="232">
        <f>#N/A</f>
        <v>0.21</v>
      </c>
      <c r="V34" s="232">
        <f>U34-D34</f>
        <v>0.21</v>
      </c>
    </row>
    <row r="35" spans="1:22" s="6" customFormat="1" ht="30.75">
      <c r="A35" s="8"/>
      <c r="B35" s="227" t="s">
        <v>214</v>
      </c>
      <c r="C35" s="57">
        <v>21050000</v>
      </c>
      <c r="D35" s="36">
        <f>1000+6932.47+110.1+1700</f>
        <v>9742.57</v>
      </c>
      <c r="E35" s="36">
        <f>7882.47+1+1700</f>
        <v>9583.470000000001</v>
      </c>
      <c r="F35" s="143">
        <v>12874.31</v>
      </c>
      <c r="G35" s="43">
        <f>#N/A</f>
        <v>3290.8399999999983</v>
      </c>
      <c r="H35" s="35">
        <f>#N/A</f>
        <v>134.33871030013137</v>
      </c>
      <c r="I35" s="50">
        <f>#N/A</f>
        <v>3131.74</v>
      </c>
      <c r="J35" s="50"/>
      <c r="K35" s="50">
        <f>F35-0</f>
        <v>12874.31</v>
      </c>
      <c r="L35" s="50" t="e">
        <f>F35/0*100</f>
        <v>#DIV/0!</v>
      </c>
      <c r="M35" s="35">
        <f>E35-жовтень!E35</f>
        <v>1951.000000000001</v>
      </c>
      <c r="N35" s="35">
        <f>F35-жовтень!F35</f>
        <v>4439.379999999999</v>
      </c>
      <c r="O35" s="47">
        <f>#N/A</f>
        <v>2488.3799999999983</v>
      </c>
      <c r="P35" s="50"/>
      <c r="Q35" s="50">
        <f>N35-0</f>
        <v>4439.379999999999</v>
      </c>
      <c r="R35" s="126" t="e">
        <f>N35/0</f>
        <v>#DIV/0!</v>
      </c>
      <c r="T35" s="232">
        <v>5000</v>
      </c>
      <c r="U35" s="232">
        <f>#N/A</f>
        <v>17874.309999999998</v>
      </c>
      <c r="V35" s="232">
        <f>#N/A</f>
        <v>8131.739999999998</v>
      </c>
    </row>
    <row r="36" spans="1:22" s="6" customFormat="1" ht="15">
      <c r="A36" s="8"/>
      <c r="B36" s="227" t="s">
        <v>169</v>
      </c>
      <c r="C36" s="57">
        <v>21080500</v>
      </c>
      <c r="D36" s="36">
        <v>240</v>
      </c>
      <c r="E36" s="36">
        <v>240</v>
      </c>
      <c r="F36" s="143">
        <v>379.93</v>
      </c>
      <c r="G36" s="43">
        <f>#N/A</f>
        <v>139.93</v>
      </c>
      <c r="H36" s="35">
        <f>#N/A</f>
        <v>158.30416666666667</v>
      </c>
      <c r="I36" s="50">
        <f>#N/A</f>
        <v>139.93</v>
      </c>
      <c r="J36" s="50"/>
      <c r="K36" s="50">
        <f>F36-242.79</f>
        <v>137.14000000000001</v>
      </c>
      <c r="L36" s="50">
        <f>F36/242.79*100</f>
        <v>156.48502821368263</v>
      </c>
      <c r="M36" s="35">
        <f>E36-жовтень!E36</f>
        <v>0</v>
      </c>
      <c r="N36" s="35">
        <f>F36-жовтень!F36</f>
        <v>30.120000000000005</v>
      </c>
      <c r="O36" s="47">
        <f>#N/A</f>
        <v>30.120000000000005</v>
      </c>
      <c r="P36" s="50"/>
      <c r="Q36" s="50">
        <f>N36-4.23</f>
        <v>25.890000000000004</v>
      </c>
      <c r="R36" s="126">
        <f>N36/4.23</f>
        <v>7.120567375886525</v>
      </c>
      <c r="T36" s="232">
        <v>0</v>
      </c>
      <c r="U36" s="232">
        <f>#N/A</f>
        <v>379.93</v>
      </c>
      <c r="V36" s="232">
        <f>#N/A</f>
        <v>139.93</v>
      </c>
    </row>
    <row r="37" spans="1:22" s="6" customFormat="1" ht="30.75">
      <c r="A37" s="8"/>
      <c r="B37" s="30" t="s">
        <v>123</v>
      </c>
      <c r="C37" s="94">
        <v>21080900</v>
      </c>
      <c r="D37" s="36">
        <f>6.5-6.5</f>
        <v>0</v>
      </c>
      <c r="E37" s="36">
        <f>5.5-1</f>
        <v>4.5</v>
      </c>
      <c r="F37" s="143">
        <v>1.02</v>
      </c>
      <c r="G37" s="43">
        <f>#N/A</f>
        <v>-3.48</v>
      </c>
      <c r="H37" s="35">
        <f>#N/A</f>
        <v>22.666666666666668</v>
      </c>
      <c r="I37" s="50">
        <f>#N/A</f>
        <v>1.02</v>
      </c>
      <c r="J37" s="50" t="e">
        <f>#N/A</f>
        <v>#DIV/0!</v>
      </c>
      <c r="K37" s="50">
        <f>F37-5.94</f>
        <v>-4.92</v>
      </c>
      <c r="L37" s="50">
        <f>F37/5.94*100</f>
        <v>17.17171717171717</v>
      </c>
      <c r="M37" s="35">
        <f>E37-жовтень!E37</f>
        <v>0</v>
      </c>
      <c r="N37" s="35">
        <f>F37-жовтень!F37</f>
        <v>1.02</v>
      </c>
      <c r="O37" s="47">
        <f>#N/A</f>
        <v>1.02</v>
      </c>
      <c r="P37" s="50" t="e">
        <f>N37/M37*100</f>
        <v>#DIV/0!</v>
      </c>
      <c r="Q37" s="50">
        <f>N37-0</f>
        <v>1.02</v>
      </c>
      <c r="R37" s="126"/>
      <c r="T37" s="232">
        <v>0</v>
      </c>
      <c r="U37" s="232">
        <f>#N/A</f>
        <v>1.02</v>
      </c>
      <c r="V37" s="232">
        <f>#N/A</f>
        <v>1.02</v>
      </c>
    </row>
    <row r="38" spans="1:22" s="6" customFormat="1" ht="15">
      <c r="A38" s="8"/>
      <c r="B38" s="228" t="s">
        <v>90</v>
      </c>
      <c r="C38" s="95">
        <v>21081100</v>
      </c>
      <c r="D38" s="36">
        <v>140</v>
      </c>
      <c r="E38" s="36">
        <v>130</v>
      </c>
      <c r="F38" s="143">
        <v>267.84</v>
      </c>
      <c r="G38" s="43">
        <f>#N/A</f>
        <v>137.83999999999997</v>
      </c>
      <c r="H38" s="35">
        <f>#N/A</f>
        <v>206.03076923076918</v>
      </c>
      <c r="I38" s="50">
        <f>#N/A</f>
        <v>127.83999999999997</v>
      </c>
      <c r="J38" s="50">
        <f>#N/A</f>
        <v>191.31428571428572</v>
      </c>
      <c r="K38" s="50">
        <f>F38-121.56</f>
        <v>146.27999999999997</v>
      </c>
      <c r="L38" s="50">
        <f>F38/121.56*100</f>
        <v>220.3356367226061</v>
      </c>
      <c r="M38" s="35">
        <f>E38-жовтень!E38</f>
        <v>10</v>
      </c>
      <c r="N38" s="35">
        <f>F38-жовтень!F38</f>
        <v>11.96999999999997</v>
      </c>
      <c r="O38" s="47">
        <f>#N/A</f>
        <v>1.9699999999999704</v>
      </c>
      <c r="P38" s="50">
        <f>N38/M38*100</f>
        <v>119.69999999999969</v>
      </c>
      <c r="Q38" s="50">
        <f>N38-9.02</f>
        <v>2.949999999999971</v>
      </c>
      <c r="R38" s="126">
        <f>N38/9.02</f>
        <v>1.3270509977827019</v>
      </c>
      <c r="T38" s="232">
        <v>10</v>
      </c>
      <c r="U38" s="232">
        <f>#N/A</f>
        <v>277.84</v>
      </c>
      <c r="V38" s="232">
        <f>#N/A</f>
        <v>137.83999999999997</v>
      </c>
    </row>
    <row r="39" spans="1:22" s="6" customFormat="1" ht="46.5" hidden="1">
      <c r="A39" s="8"/>
      <c r="B39" s="228" t="s">
        <v>225</v>
      </c>
      <c r="C39" s="67">
        <v>21081500</v>
      </c>
      <c r="D39" s="36">
        <v>0</v>
      </c>
      <c r="E39" s="36"/>
      <c r="F39" s="143">
        <v>0</v>
      </c>
      <c r="G39" s="43">
        <f>#N/A</f>
        <v>0</v>
      </c>
      <c r="H39" s="35"/>
      <c r="I39" s="50">
        <f>F39-D39</f>
        <v>0</v>
      </c>
      <c r="J39" s="50"/>
      <c r="K39" s="50">
        <f>F39-0</f>
        <v>0</v>
      </c>
      <c r="L39" s="50"/>
      <c r="M39" s="35">
        <f>E39-жовтень!E39</f>
        <v>0</v>
      </c>
      <c r="N39" s="35">
        <f>F39-жовтень!F39</f>
        <v>0</v>
      </c>
      <c r="O39" s="47"/>
      <c r="P39" s="50"/>
      <c r="Q39" s="50"/>
      <c r="R39" s="126"/>
      <c r="T39" s="232"/>
      <c r="U39" s="232">
        <f>#N/A</f>
        <v>0</v>
      </c>
      <c r="V39" s="232">
        <f>#N/A</f>
        <v>0</v>
      </c>
    </row>
    <row r="40" spans="1:22" s="6" customFormat="1" ht="15">
      <c r="A40" s="8"/>
      <c r="B40" s="41" t="s">
        <v>222</v>
      </c>
      <c r="C40" s="95">
        <v>22012500</v>
      </c>
      <c r="D40" s="36">
        <v>9000</v>
      </c>
      <c r="E40" s="36">
        <f>9000-100</f>
        <v>8900</v>
      </c>
      <c r="F40" s="143">
        <v>8884.64</v>
      </c>
      <c r="G40" s="43">
        <f>#N/A</f>
        <v>-15.360000000000582</v>
      </c>
      <c r="H40" s="35">
        <f>#N/A</f>
        <v>99.82741573033708</v>
      </c>
      <c r="I40" s="50">
        <f>#N/A</f>
        <v>-115.36000000000058</v>
      </c>
      <c r="J40" s="50"/>
      <c r="K40" s="50">
        <f>F40-0</f>
        <v>8884.64</v>
      </c>
      <c r="L40" s="50"/>
      <c r="M40" s="35">
        <f>E40-жовтень!E40</f>
        <v>63</v>
      </c>
      <c r="N40" s="35">
        <f>F40-жовтень!F40</f>
        <v>500.9399999999987</v>
      </c>
      <c r="O40" s="47"/>
      <c r="P40" s="50"/>
      <c r="Q40" s="50"/>
      <c r="R40" s="126"/>
      <c r="T40" s="232">
        <v>400</v>
      </c>
      <c r="U40" s="232">
        <f>#N/A</f>
        <v>9284.64</v>
      </c>
      <c r="V40" s="232">
        <f>#N/A</f>
        <v>284.6399999999994</v>
      </c>
    </row>
    <row r="41" spans="1:22" s="6" customFormat="1" ht="30.75">
      <c r="A41" s="8"/>
      <c r="B41" s="228" t="s">
        <v>78</v>
      </c>
      <c r="C41" s="67">
        <v>22080401</v>
      </c>
      <c r="D41" s="36">
        <v>6900</v>
      </c>
      <c r="E41" s="36">
        <v>6350</v>
      </c>
      <c r="F41" s="143">
        <v>8180.78</v>
      </c>
      <c r="G41" s="43">
        <f>#N/A</f>
        <v>1830.7799999999997</v>
      </c>
      <c r="H41" s="35">
        <f>#N/A</f>
        <v>128.8311811023622</v>
      </c>
      <c r="I41" s="50">
        <f>#N/A</f>
        <v>1280.7799999999997</v>
      </c>
      <c r="J41" s="50">
        <f>#N/A</f>
        <v>118.56202898550725</v>
      </c>
      <c r="K41" s="50">
        <f>F41-6573.91</f>
        <v>1606.87</v>
      </c>
      <c r="L41" s="50">
        <f>F41/6573.91*100</f>
        <v>124.44313962314666</v>
      </c>
      <c r="M41" s="35">
        <f>E41-жовтень!E41</f>
        <v>580</v>
      </c>
      <c r="N41" s="35">
        <f>F41-жовтень!F41</f>
        <v>687.96</v>
      </c>
      <c r="O41" s="47">
        <f>#N/A</f>
        <v>107.96000000000004</v>
      </c>
      <c r="P41" s="50">
        <f>N41/M41*100</f>
        <v>118.61379310344829</v>
      </c>
      <c r="Q41" s="50">
        <f>N41-647.49</f>
        <v>40.47000000000003</v>
      </c>
      <c r="R41" s="126">
        <f>N41/647.49</f>
        <v>1.0625028957976186</v>
      </c>
      <c r="T41" s="232">
        <v>691.5</v>
      </c>
      <c r="U41" s="232">
        <f>#N/A</f>
        <v>8872.279999999999</v>
      </c>
      <c r="V41" s="232">
        <f>#N/A</f>
        <v>1972.2799999999988</v>
      </c>
    </row>
    <row r="42" spans="1:22" s="6" customFormat="1" ht="15">
      <c r="A42" s="8"/>
      <c r="B42" s="228" t="s">
        <v>80</v>
      </c>
      <c r="C42" s="59">
        <v>22090000</v>
      </c>
      <c r="D42" s="36">
        <f>1100+6000</f>
        <v>7100</v>
      </c>
      <c r="E42" s="36">
        <v>6811.6</v>
      </c>
      <c r="F42" s="143">
        <v>6761.32</v>
      </c>
      <c r="G42" s="43">
        <f>#N/A</f>
        <v>-50.280000000000655</v>
      </c>
      <c r="H42" s="35">
        <f>#N/A</f>
        <v>99.26184743672557</v>
      </c>
      <c r="I42" s="50">
        <f>#N/A</f>
        <v>-338.6800000000003</v>
      </c>
      <c r="J42" s="50">
        <f>#N/A</f>
        <v>95.22985915492957</v>
      </c>
      <c r="K42" s="50">
        <f>F42-975.44</f>
        <v>5785.879999999999</v>
      </c>
      <c r="L42" s="50">
        <f>F42/975.44*100</f>
        <v>693.1559091281882</v>
      </c>
      <c r="M42" s="35">
        <f>E42-жовтень!E42</f>
        <v>420.3000000000002</v>
      </c>
      <c r="N42" s="35">
        <f>F42-жовтень!F42</f>
        <v>573.7699999999995</v>
      </c>
      <c r="O42" s="47">
        <f>#N/A</f>
        <v>153.46999999999935</v>
      </c>
      <c r="P42" s="50">
        <f>N42/M42*100</f>
        <v>136.51439448013306</v>
      </c>
      <c r="Q42" s="50">
        <f>N42-79.51</f>
        <v>494.25999999999954</v>
      </c>
      <c r="R42" s="126">
        <f>N42/79.51</f>
        <v>7.216324990567218</v>
      </c>
      <c r="T42" s="232">
        <v>288.4</v>
      </c>
      <c r="U42" s="232">
        <f>#N/A</f>
        <v>7049.719999999999</v>
      </c>
      <c r="V42" s="232">
        <f>#N/A</f>
        <v>-50.280000000000655</v>
      </c>
    </row>
    <row r="43" spans="1:22" s="6" customFormat="1" ht="15" hidden="1">
      <c r="A43" s="8"/>
      <c r="B43" s="69" t="s">
        <v>271</v>
      </c>
      <c r="C43" s="204">
        <v>22090100</v>
      </c>
      <c r="D43" s="135">
        <v>1100</v>
      </c>
      <c r="E43" s="135">
        <v>1010</v>
      </c>
      <c r="F43" s="144">
        <v>1017.62</v>
      </c>
      <c r="G43" s="135">
        <f>#N/A</f>
        <v>7.6200000000000045</v>
      </c>
      <c r="H43" s="35">
        <f>#N/A</f>
        <v>100.75445544554455</v>
      </c>
      <c r="I43" s="136">
        <f>#N/A</f>
        <v>-82.38</v>
      </c>
      <c r="J43" s="136">
        <f>#N/A</f>
        <v>92.51090909090908</v>
      </c>
      <c r="K43" s="136">
        <f>F43-857.86</f>
        <v>159.76</v>
      </c>
      <c r="L43" s="136">
        <f>F43/857.86*100</f>
        <v>118.62308535192223</v>
      </c>
      <c r="M43" s="137">
        <f>E43-жовтень!E43</f>
        <v>100</v>
      </c>
      <c r="N43" s="137">
        <f>F43-жовтень!F43</f>
        <v>133.85000000000002</v>
      </c>
      <c r="O43" s="138"/>
      <c r="P43" s="50"/>
      <c r="Q43" s="50"/>
      <c r="R43" s="126"/>
      <c r="T43" s="232"/>
      <c r="U43" s="232">
        <f>#N/A</f>
        <v>1017.62</v>
      </c>
      <c r="V43" s="232">
        <f>#N/A</f>
        <v>-82.38</v>
      </c>
    </row>
    <row r="44" spans="1:22" s="6" customFormat="1" ht="15" hidden="1">
      <c r="A44" s="8"/>
      <c r="B44" s="69" t="s">
        <v>268</v>
      </c>
      <c r="C44" s="204">
        <v>22090200</v>
      </c>
      <c r="D44" s="135">
        <v>80</v>
      </c>
      <c r="E44" s="135">
        <v>80</v>
      </c>
      <c r="F44" s="144">
        <v>44.15</v>
      </c>
      <c r="G44" s="135">
        <f>#N/A</f>
        <v>-35.85</v>
      </c>
      <c r="H44" s="35">
        <f>#N/A</f>
        <v>55.1875</v>
      </c>
      <c r="I44" s="136">
        <f>#N/A</f>
        <v>-35.85</v>
      </c>
      <c r="J44" s="136"/>
      <c r="K44" s="136">
        <f>F44-0</f>
        <v>44.15</v>
      </c>
      <c r="L44" s="136"/>
      <c r="M44" s="137">
        <f>E44-жовтень!E44</f>
        <v>10</v>
      </c>
      <c r="N44" s="137">
        <f>F44-жовтень!F44</f>
        <v>0.03999999999999915</v>
      </c>
      <c r="O44" s="138"/>
      <c r="P44" s="50"/>
      <c r="Q44" s="50"/>
      <c r="R44" s="126"/>
      <c r="T44" s="232"/>
      <c r="U44" s="232">
        <f>#N/A</f>
        <v>44.15</v>
      </c>
      <c r="V44" s="232">
        <f>#N/A</f>
        <v>-35.85</v>
      </c>
    </row>
    <row r="45" spans="1:22" s="6" customFormat="1" ht="15" hidden="1">
      <c r="A45" s="8"/>
      <c r="B45" s="69" t="s">
        <v>269</v>
      </c>
      <c r="C45" s="204">
        <v>22090300</v>
      </c>
      <c r="D45" s="135">
        <v>2</v>
      </c>
      <c r="E45" s="135">
        <v>1.6</v>
      </c>
      <c r="F45" s="144">
        <v>0.75</v>
      </c>
      <c r="G45" s="135">
        <f>#N/A</f>
        <v>-0.8500000000000001</v>
      </c>
      <c r="H45" s="35">
        <f>#N/A</f>
        <v>46.875</v>
      </c>
      <c r="I45" s="136">
        <f>#N/A</f>
        <v>-1.25</v>
      </c>
      <c r="J45" s="136"/>
      <c r="K45" s="136">
        <f>F45-0</f>
        <v>0.75</v>
      </c>
      <c r="L45" s="136"/>
      <c r="M45" s="137">
        <f>E45-жовтень!E45</f>
        <v>0.30000000000000004</v>
      </c>
      <c r="N45" s="137">
        <f>F45-жовтень!F45</f>
        <v>0</v>
      </c>
      <c r="O45" s="138"/>
      <c r="P45" s="50"/>
      <c r="Q45" s="50"/>
      <c r="R45" s="126"/>
      <c r="T45" s="232"/>
      <c r="U45" s="232">
        <f>#N/A</f>
        <v>0.75</v>
      </c>
      <c r="V45" s="232">
        <f>#N/A</f>
        <v>-1.25</v>
      </c>
    </row>
    <row r="46" spans="1:22" s="6" customFormat="1" ht="15" hidden="1">
      <c r="A46" s="8"/>
      <c r="B46" s="69" t="s">
        <v>270</v>
      </c>
      <c r="C46" s="204">
        <v>22090400</v>
      </c>
      <c r="D46" s="135">
        <v>5918</v>
      </c>
      <c r="E46" s="135">
        <v>5720</v>
      </c>
      <c r="F46" s="144">
        <v>5698.8</v>
      </c>
      <c r="G46" s="135">
        <f>#N/A</f>
        <v>-21.199999999999818</v>
      </c>
      <c r="H46" s="35">
        <f>#N/A</f>
        <v>99.62937062937063</v>
      </c>
      <c r="I46" s="136">
        <f>#N/A</f>
        <v>-219.19999999999982</v>
      </c>
      <c r="J46" s="136">
        <f>#N/A</f>
        <v>96.29604596147348</v>
      </c>
      <c r="K46" s="136">
        <f>F46-117.58</f>
        <v>5581.22</v>
      </c>
      <c r="L46" s="136">
        <f>F46/117.58*100</f>
        <v>4846.742643306685</v>
      </c>
      <c r="M46" s="137">
        <f>E46-жовтень!E46</f>
        <v>310</v>
      </c>
      <c r="N46" s="137">
        <f>F46-жовтень!F46</f>
        <v>439.8800000000001</v>
      </c>
      <c r="O46" s="138"/>
      <c r="P46" s="50"/>
      <c r="Q46" s="50"/>
      <c r="R46" s="126"/>
      <c r="T46" s="232"/>
      <c r="U46" s="232">
        <f>#N/A</f>
        <v>5698.8</v>
      </c>
      <c r="V46" s="232">
        <f>#N/A</f>
        <v>-219.19999999999982</v>
      </c>
    </row>
    <row r="47" spans="1:22" s="6" customFormat="1" ht="46.5">
      <c r="A47" s="8"/>
      <c r="B47" s="15" t="s">
        <v>96</v>
      </c>
      <c r="C47" s="13" t="s">
        <v>97</v>
      </c>
      <c r="D47" s="36">
        <f>7.6-3.6</f>
        <v>3.9999999999999996</v>
      </c>
      <c r="E47" s="36">
        <v>0</v>
      </c>
      <c r="F47" s="143">
        <v>3.89</v>
      </c>
      <c r="G47" s="43">
        <f>#N/A</f>
        <v>3.89</v>
      </c>
      <c r="H47" s="35"/>
      <c r="I47" s="50">
        <f>#N/A</f>
        <v>-0.10999999999999943</v>
      </c>
      <c r="J47" s="50"/>
      <c r="K47" s="50">
        <f>F47-0.53</f>
        <v>3.3600000000000003</v>
      </c>
      <c r="L47" s="50"/>
      <c r="M47" s="35">
        <f>E47-жовтень!E47</f>
        <v>0</v>
      </c>
      <c r="N47" s="35">
        <f>F47-жовтень!F47</f>
        <v>0</v>
      </c>
      <c r="O47" s="47">
        <f>#N/A</f>
        <v>0</v>
      </c>
      <c r="P47" s="50"/>
      <c r="Q47" s="50">
        <f>N47-0</f>
        <v>0</v>
      </c>
      <c r="R47" s="126"/>
      <c r="T47" s="232">
        <v>0</v>
      </c>
      <c r="U47" s="232">
        <f>#N/A</f>
        <v>3.89</v>
      </c>
      <c r="V47" s="232">
        <f>#N/A</f>
        <v>-0.10999999999999943</v>
      </c>
    </row>
    <row r="48" spans="1:22" s="6" customFormat="1" ht="15.75" customHeight="1">
      <c r="A48" s="8"/>
      <c r="B48" s="229" t="s">
        <v>73</v>
      </c>
      <c r="C48" s="13" t="s">
        <v>99</v>
      </c>
      <c r="D48" s="36">
        <v>4200</v>
      </c>
      <c r="E48" s="36">
        <v>3820</v>
      </c>
      <c r="F48" s="143">
        <v>4367.82</v>
      </c>
      <c r="G48" s="43">
        <f>#N/A</f>
        <v>547.8199999999997</v>
      </c>
      <c r="H48" s="35">
        <f>F48/E48*100</f>
        <v>114.34083769633507</v>
      </c>
      <c r="I48" s="50">
        <f>#N/A</f>
        <v>167.8199999999997</v>
      </c>
      <c r="J48" s="50">
        <f>F48/D48*100</f>
        <v>103.99571428571429</v>
      </c>
      <c r="K48" s="50">
        <f>F48-3812.69</f>
        <v>555.1299999999997</v>
      </c>
      <c r="L48" s="50">
        <f>F48/3812.69*100</f>
        <v>114.56006126907772</v>
      </c>
      <c r="M48" s="35">
        <f>E48-жовтень!E48</f>
        <v>370</v>
      </c>
      <c r="N48" s="35">
        <f>F48-жовтень!F48</f>
        <v>356.9699999999998</v>
      </c>
      <c r="O48" s="47">
        <f>#N/A</f>
        <v>-13.0300000000002</v>
      </c>
      <c r="P48" s="50">
        <f>#N/A</f>
        <v>96.47837837837832</v>
      </c>
      <c r="Q48" s="50">
        <f>N48-277.38</f>
        <v>79.5899999999998</v>
      </c>
      <c r="R48" s="126">
        <f>N48/277.38</f>
        <v>1.2869348907635727</v>
      </c>
      <c r="T48" s="232">
        <v>380</v>
      </c>
      <c r="U48" s="232">
        <f>#N/A</f>
        <v>4747.82</v>
      </c>
      <c r="V48" s="232">
        <f>#N/A</f>
        <v>547.8199999999997</v>
      </c>
    </row>
    <row r="49" spans="1:22" s="6" customFormat="1" ht="15" hidden="1">
      <c r="A49" s="8"/>
      <c r="B49" s="14" t="s">
        <v>102</v>
      </c>
      <c r="C49" s="83" t="s">
        <v>103</v>
      </c>
      <c r="D49" s="36">
        <v>0</v>
      </c>
      <c r="E49" s="36">
        <v>0</v>
      </c>
      <c r="F49" s="143">
        <v>0</v>
      </c>
      <c r="G49" s="43">
        <f>#N/A</f>
        <v>0</v>
      </c>
      <c r="H49" s="35" t="e">
        <f>F49/E49*100</f>
        <v>#DIV/0!</v>
      </c>
      <c r="I49" s="50">
        <f>#N/A</f>
        <v>0</v>
      </c>
      <c r="J49" s="50" t="e">
        <f>F49/D49*100</f>
        <v>#DIV/0!</v>
      </c>
      <c r="K49" s="50"/>
      <c r="L49" s="50">
        <f>F49</f>
        <v>0</v>
      </c>
      <c r="M49" s="35">
        <f>E49-жовтень!E50</f>
        <v>0</v>
      </c>
      <c r="N49" s="35">
        <f>F49-жовтень!F50</f>
        <v>0</v>
      </c>
      <c r="O49" s="47">
        <f>#N/A</f>
        <v>0</v>
      </c>
      <c r="P49" s="50" t="e">
        <f>#N/A</f>
        <v>#DIV/0!</v>
      </c>
      <c r="Q49" s="50"/>
      <c r="R49" s="126">
        <f>N49/277.38</f>
        <v>0</v>
      </c>
      <c r="T49" s="232"/>
      <c r="U49" s="232">
        <f>#N/A</f>
        <v>0</v>
      </c>
      <c r="V49" s="232">
        <f>#N/A</f>
        <v>0</v>
      </c>
    </row>
    <row r="50" spans="1:22" s="6" customFormat="1" ht="30.75">
      <c r="A50" s="8"/>
      <c r="B50" s="69" t="s">
        <v>127</v>
      </c>
      <c r="C50" s="83"/>
      <c r="D50" s="135"/>
      <c r="E50" s="135"/>
      <c r="F50" s="144">
        <v>1142</v>
      </c>
      <c r="G50" s="135">
        <f>#N/A</f>
        <v>1142</v>
      </c>
      <c r="H50" s="137"/>
      <c r="I50" s="136">
        <f>#N/A</f>
        <v>1142</v>
      </c>
      <c r="J50" s="136"/>
      <c r="K50" s="138">
        <f>F50-926.78</f>
        <v>215.22000000000003</v>
      </c>
      <c r="L50" s="138">
        <f>F50/926.78*100</f>
        <v>123.22233971384794</v>
      </c>
      <c r="M50" s="137">
        <f>E50-жовтень!E51</f>
        <v>0</v>
      </c>
      <c r="N50" s="137">
        <f>F50-жовтень!F51</f>
        <v>97.70000000000005</v>
      </c>
      <c r="O50" s="138">
        <f>#N/A</f>
        <v>97.70000000000005</v>
      </c>
      <c r="P50" s="136"/>
      <c r="Q50" s="50">
        <f>N50-64.93</f>
        <v>32.77000000000004</v>
      </c>
      <c r="R50" s="126">
        <f>N50/64.93</f>
        <v>1.5046973663945793</v>
      </c>
      <c r="T50" s="232"/>
      <c r="U50" s="232">
        <f>#N/A</f>
        <v>1142</v>
      </c>
      <c r="V50" s="232"/>
    </row>
    <row r="51" spans="1:22" s="6" customFormat="1" ht="15">
      <c r="A51" s="8"/>
      <c r="B51" s="229" t="s">
        <v>100</v>
      </c>
      <c r="C51" s="225" t="s">
        <v>101</v>
      </c>
      <c r="D51" s="43">
        <v>0</v>
      </c>
      <c r="E51" s="43">
        <v>0</v>
      </c>
      <c r="F51" s="168">
        <v>0.07</v>
      </c>
      <c r="G51" s="135"/>
      <c r="H51" s="137"/>
      <c r="I51" s="136"/>
      <c r="J51" s="136"/>
      <c r="K51" s="138"/>
      <c r="L51" s="138"/>
      <c r="M51" s="137">
        <f>E51</f>
        <v>0</v>
      </c>
      <c r="N51" s="137">
        <f>F51-E51</f>
        <v>0.07</v>
      </c>
      <c r="O51" s="138"/>
      <c r="P51" s="136"/>
      <c r="Q51" s="50"/>
      <c r="R51" s="126"/>
      <c r="T51" s="232">
        <v>0</v>
      </c>
      <c r="U51" s="232">
        <f>#N/A</f>
        <v>0.07</v>
      </c>
      <c r="V51" s="232">
        <f>#N/A</f>
        <v>0.07</v>
      </c>
    </row>
    <row r="52" spans="1:22" s="6" customFormat="1" ht="44.25" customHeight="1">
      <c r="A52" s="8"/>
      <c r="B52" s="229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>
        <f>F52/E52*100</f>
        <v>401</v>
      </c>
      <c r="I52" s="50">
        <f>#N/A</f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E52-жовтень!E52</f>
        <v>0</v>
      </c>
      <c r="N52" s="35">
        <f>F52-жовтень!F52</f>
        <v>0</v>
      </c>
      <c r="O52" s="47">
        <f>#N/A</f>
        <v>0</v>
      </c>
      <c r="P52" s="50"/>
      <c r="Q52" s="50"/>
      <c r="R52" s="126"/>
      <c r="T52" s="232">
        <v>0</v>
      </c>
      <c r="U52" s="232">
        <f>#N/A</f>
        <v>20.05</v>
      </c>
      <c r="V52" s="232">
        <f>#N/A</f>
        <v>7.050000000000001</v>
      </c>
    </row>
    <row r="53" spans="1:22" s="6" customFormat="1" ht="15">
      <c r="A53" s="8"/>
      <c r="B53" s="14" t="s">
        <v>129</v>
      </c>
      <c r="C53" s="59">
        <v>31010200</v>
      </c>
      <c r="D53" s="36">
        <v>26.5</v>
      </c>
      <c r="E53" s="36">
        <v>23.8</v>
      </c>
      <c r="F53" s="143">
        <v>28.08</v>
      </c>
      <c r="G53" s="43">
        <f>#N/A</f>
        <v>4.279999999999998</v>
      </c>
      <c r="H53" s="35">
        <f>F53/E53*100</f>
        <v>117.9831932773109</v>
      </c>
      <c r="I53" s="50">
        <f>#N/A</f>
        <v>1.5799999999999983</v>
      </c>
      <c r="J53" s="50">
        <f>F53/D53*100</f>
        <v>105.96226415094338</v>
      </c>
      <c r="K53" s="50">
        <f>F53-23.85</f>
        <v>4.229999999999997</v>
      </c>
      <c r="L53" s="50">
        <f>F53/23.85*100</f>
        <v>117.73584905660377</v>
      </c>
      <c r="M53" s="35">
        <f>E53-жовтень!E53</f>
        <v>2.1999999999999993</v>
      </c>
      <c r="N53" s="35">
        <f>F53-жовтень!F53</f>
        <v>7.159999999999997</v>
      </c>
      <c r="O53" s="47">
        <f>#N/A</f>
        <v>4.959999999999997</v>
      </c>
      <c r="P53" s="50">
        <f>#N/A</f>
        <v>325.4545454545454</v>
      </c>
      <c r="Q53" s="50"/>
      <c r="R53" s="126"/>
      <c r="T53" s="232">
        <v>0</v>
      </c>
      <c r="U53" s="232">
        <f>#N/A</f>
        <v>28.08</v>
      </c>
      <c r="V53" s="232">
        <f>#N/A</f>
        <v>1.5799999999999983</v>
      </c>
    </row>
    <row r="54" spans="1:22" s="6" customFormat="1" ht="30.7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0.54</v>
      </c>
      <c r="G54" s="43">
        <f>#N/A</f>
        <v>0.54</v>
      </c>
      <c r="H54" s="35"/>
      <c r="I54" s="50">
        <f>#N/A</f>
        <v>0.54</v>
      </c>
      <c r="J54" s="50"/>
      <c r="K54" s="50">
        <f>F54-0.37</f>
        <v>0.17000000000000004</v>
      </c>
      <c r="L54" s="50"/>
      <c r="M54" s="35">
        <f>E54-жовтень!E54</f>
        <v>0</v>
      </c>
      <c r="N54" s="35">
        <f>F54-жовтень!F54</f>
        <v>0.23000000000000004</v>
      </c>
      <c r="O54" s="47">
        <f>#N/A</f>
        <v>0.23000000000000004</v>
      </c>
      <c r="P54" s="50"/>
      <c r="Q54" s="50"/>
      <c r="R54" s="126"/>
      <c r="T54" s="232">
        <v>0</v>
      </c>
      <c r="U54" s="232">
        <f>#N/A</f>
        <v>0.54</v>
      </c>
      <c r="V54" s="232">
        <f>#N/A</f>
        <v>0.54</v>
      </c>
    </row>
    <row r="55" spans="1:24" s="6" customFormat="1" ht="17.25">
      <c r="A55" s="9"/>
      <c r="B55" s="17" t="s">
        <v>109</v>
      </c>
      <c r="C55" s="84"/>
      <c r="D55" s="18">
        <f>D8+D33+D53+D54</f>
        <v>609655.07</v>
      </c>
      <c r="E55" s="18">
        <f>E8+E33+E53+E54</f>
        <v>576611.9400000001</v>
      </c>
      <c r="F55" s="18">
        <f>F8+F33+F53+F54</f>
        <v>650580.28</v>
      </c>
      <c r="G55" s="44">
        <f>F55-E55</f>
        <v>73968.33999999997</v>
      </c>
      <c r="H55" s="45">
        <f>F55/E55*100</f>
        <v>112.82809717745353</v>
      </c>
      <c r="I55" s="31">
        <f>F55-D55</f>
        <v>40925.21000000008</v>
      </c>
      <c r="J55" s="31">
        <f>F55/D55*100</f>
        <v>106.71284665934134</v>
      </c>
      <c r="K55" s="31">
        <f>K8+K33+K53+K54</f>
        <v>191652.86600000004</v>
      </c>
      <c r="L55" s="31">
        <f>F55/(F55-K55)*100</f>
        <v>141.7610411044218</v>
      </c>
      <c r="M55" s="18">
        <f>M8+M33+M53+M54</f>
        <v>40514.600000000006</v>
      </c>
      <c r="N55" s="18">
        <f>N8+N33+N53+N54</f>
        <v>72891.07000000002</v>
      </c>
      <c r="O55" s="49">
        <f>N55-M55</f>
        <v>32376.470000000016</v>
      </c>
      <c r="P55" s="31">
        <f>N55/M55*100</f>
        <v>179.9130930578113</v>
      </c>
      <c r="Q55" s="31">
        <f>N55-34768</f>
        <v>38123.07000000002</v>
      </c>
      <c r="R55" s="171">
        <f>N55/34768</f>
        <v>2.0964987919926377</v>
      </c>
      <c r="S55" s="172">
        <f>F52+F51+F48+F42+F41+F40+F38+F36+F35</f>
        <v>41736.759999999995</v>
      </c>
      <c r="T55" s="56">
        <f>T8+T33+T53+T54</f>
        <v>55286.8</v>
      </c>
      <c r="U55" s="234">
        <f>#N/A</f>
        <v>705867.0800000001</v>
      </c>
      <c r="V55" s="234">
        <f>V8+V33+V53+V54</f>
        <v>96212.01000000004</v>
      </c>
      <c r="X55" s="230"/>
    </row>
    <row r="56" spans="1:18" s="66" customFormat="1" ht="17.2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7.2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7.2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F60-жовтень!F60</f>
        <v>0</v>
      </c>
      <c r="O60" s="47"/>
      <c r="P60" s="53"/>
      <c r="Q60" s="53"/>
      <c r="R60" s="129"/>
    </row>
    <row r="61" spans="2:21" ht="30.75">
      <c r="B61" s="26" t="s">
        <v>170</v>
      </c>
      <c r="C61" s="97">
        <v>18041500</v>
      </c>
      <c r="D61" s="28">
        <v>0</v>
      </c>
      <c r="E61" s="28">
        <v>0</v>
      </c>
      <c r="F61" s="146">
        <v>-55.72</v>
      </c>
      <c r="G61" s="43">
        <f>#N/A</f>
        <v>-55.72</v>
      </c>
      <c r="H61" s="35"/>
      <c r="I61" s="53">
        <f>#N/A</f>
        <v>-55.72</v>
      </c>
      <c r="J61" s="53"/>
      <c r="K61" s="47">
        <f>F61-284.81</f>
        <v>-340.53</v>
      </c>
      <c r="L61" s="53"/>
      <c r="M61" s="35">
        <v>0</v>
      </c>
      <c r="N61" s="36">
        <f>F61-жовтень!F61</f>
        <v>-0.9699999999999989</v>
      </c>
      <c r="O61" s="47">
        <f>#N/A</f>
        <v>-0.9699999999999989</v>
      </c>
      <c r="P61" s="53"/>
      <c r="Q61" s="53">
        <f>N61-24.53</f>
        <v>-25.5</v>
      </c>
      <c r="R61" s="129">
        <f>N61/24.53</f>
        <v>-0.03954341622503053</v>
      </c>
      <c r="U61" s="104"/>
    </row>
    <row r="62" spans="2:18" ht="1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-55.72</v>
      </c>
      <c r="G62" s="55">
        <f>#N/A</f>
        <v>-55.72</v>
      </c>
      <c r="H62" s="65"/>
      <c r="I62" s="54">
        <f>#N/A</f>
        <v>-55.72</v>
      </c>
      <c r="J62" s="54"/>
      <c r="K62" s="54">
        <f>K60+K61</f>
        <v>-340.53</v>
      </c>
      <c r="L62" s="54"/>
      <c r="M62" s="55">
        <f>M61</f>
        <v>0</v>
      </c>
      <c r="N62" s="33">
        <f>SUM(N60:N61)</f>
        <v>-0.9699999999999989</v>
      </c>
      <c r="O62" s="54">
        <f>#N/A</f>
        <v>-0.9699999999999989</v>
      </c>
      <c r="P62" s="54"/>
      <c r="Q62" s="54">
        <f>N62-92.85</f>
        <v>-93.82</v>
      </c>
      <c r="R62" s="130">
        <f>N62/92.85</f>
        <v>-0.010446957458266008</v>
      </c>
    </row>
    <row r="63" spans="2:18" ht="46.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>#N/A</f>
        <v>0</v>
      </c>
      <c r="H63" s="35" t="e">
        <f>F63/E63*100</f>
        <v>#DIV/0!</v>
      </c>
      <c r="I63" s="53">
        <f>#N/A</f>
        <v>0</v>
      </c>
      <c r="J63" s="53" t="e">
        <f>#N/A</f>
        <v>#DIV/0!</v>
      </c>
      <c r="K63" s="53"/>
      <c r="L63" s="53"/>
      <c r="M63" s="36">
        <v>0</v>
      </c>
      <c r="N63" s="36">
        <f>F63</f>
        <v>0</v>
      </c>
      <c r="O63" s="47">
        <f>#N/A</f>
        <v>0</v>
      </c>
      <c r="P63" s="53"/>
      <c r="Q63" s="53"/>
      <c r="R63" s="129"/>
    </row>
    <row r="64" spans="2:18" ht="30.75">
      <c r="B64" s="26" t="s">
        <v>111</v>
      </c>
      <c r="C64" s="97">
        <v>31030000</v>
      </c>
      <c r="D64" s="28">
        <v>2500</v>
      </c>
      <c r="E64" s="28">
        <v>2500</v>
      </c>
      <c r="F64" s="146">
        <v>619</v>
      </c>
      <c r="G64" s="43">
        <f>#N/A</f>
        <v>-1881</v>
      </c>
      <c r="H64" s="35"/>
      <c r="I64" s="53">
        <f>#N/A</f>
        <v>-1881</v>
      </c>
      <c r="J64" s="53">
        <f>#N/A</f>
        <v>24.759999999999998</v>
      </c>
      <c r="K64" s="53">
        <f>F64-1921.61</f>
        <v>-1302.61</v>
      </c>
      <c r="L64" s="53">
        <f>F64/1921.61*100</f>
        <v>32.21257174973069</v>
      </c>
      <c r="M64" s="35">
        <f>E64-жовтень!E64</f>
        <v>900</v>
      </c>
      <c r="N64" s="35">
        <f>F64-жовтень!F64</f>
        <v>25.870000000000005</v>
      </c>
      <c r="O64" s="47">
        <f>#N/A</f>
        <v>-874.13</v>
      </c>
      <c r="P64" s="53"/>
      <c r="Q64" s="53">
        <f>N64-0.04</f>
        <v>25.830000000000005</v>
      </c>
      <c r="R64" s="129">
        <f>N64/0.04</f>
        <v>646.7500000000001</v>
      </c>
    </row>
    <row r="65" spans="2:18" ht="15">
      <c r="B65" s="26" t="s">
        <v>112</v>
      </c>
      <c r="C65" s="97">
        <v>33010000</v>
      </c>
      <c r="D65" s="28">
        <v>11576</v>
      </c>
      <c r="E65" s="28">
        <v>7760.73</v>
      </c>
      <c r="F65" s="146">
        <v>8212.99</v>
      </c>
      <c r="G65" s="43">
        <f>#N/A</f>
        <v>452.2600000000002</v>
      </c>
      <c r="H65" s="35">
        <f>F65/E65*100</f>
        <v>105.82754457377077</v>
      </c>
      <c r="I65" s="53">
        <f>#N/A</f>
        <v>-3363.01</v>
      </c>
      <c r="J65" s="53">
        <f>#N/A</f>
        <v>70.94842778161714</v>
      </c>
      <c r="K65" s="53">
        <f>F65-3828.89</f>
        <v>4384.1</v>
      </c>
      <c r="L65" s="53">
        <f>F65/3828.89*100</f>
        <v>214.50054715596428</v>
      </c>
      <c r="M65" s="35">
        <f>E65-жовтень!E65</f>
        <v>1024.75</v>
      </c>
      <c r="N65" s="35">
        <f>F65-жовтень!F65</f>
        <v>1000.9099999999999</v>
      </c>
      <c r="O65" s="47">
        <f>#N/A</f>
        <v>-23.840000000000146</v>
      </c>
      <c r="P65" s="53">
        <f>N65/M65*100</f>
        <v>97.6735789216882</v>
      </c>
      <c r="Q65" s="53">
        <f>N65-450.01</f>
        <v>550.8999999999999</v>
      </c>
      <c r="R65" s="129">
        <f>N65/450.01</f>
        <v>2.224195017888491</v>
      </c>
    </row>
    <row r="66" spans="2:18" ht="30.75">
      <c r="B66" s="26" t="s">
        <v>156</v>
      </c>
      <c r="C66" s="97">
        <v>24170000</v>
      </c>
      <c r="D66" s="28">
        <v>3000</v>
      </c>
      <c r="E66" s="28">
        <v>1481</v>
      </c>
      <c r="F66" s="146">
        <v>2292.73</v>
      </c>
      <c r="G66" s="43">
        <f>#N/A</f>
        <v>811.73</v>
      </c>
      <c r="H66" s="35">
        <f>F66/E66*100</f>
        <v>154.80958811613775</v>
      </c>
      <c r="I66" s="53">
        <f>#N/A</f>
        <v>-707.27</v>
      </c>
      <c r="J66" s="53">
        <f>#N/A</f>
        <v>76.42433333333334</v>
      </c>
      <c r="K66" s="53">
        <f>F66-2012.55</f>
        <v>280.18000000000006</v>
      </c>
      <c r="L66" s="53">
        <f>F66/2012.55*100</f>
        <v>113.92164169834291</v>
      </c>
      <c r="M66" s="35">
        <f>E66-жовтень!E66</f>
        <v>148.0999999999999</v>
      </c>
      <c r="N66" s="35">
        <f>F66-жовтень!F66</f>
        <v>229.30000000000018</v>
      </c>
      <c r="O66" s="47">
        <f>#N/A</f>
        <v>81.20000000000027</v>
      </c>
      <c r="P66" s="53">
        <f>N66/M66*100</f>
        <v>154.8278190411886</v>
      </c>
      <c r="Q66" s="53">
        <f>N66-1.05</f>
        <v>228.25000000000017</v>
      </c>
      <c r="R66" s="129">
        <f>N66/1.05</f>
        <v>218.38095238095255</v>
      </c>
    </row>
    <row r="67" spans="2:19" ht="33">
      <c r="B67" s="32" t="s">
        <v>144</v>
      </c>
      <c r="C67" s="87"/>
      <c r="D67" s="33">
        <f>D64+D65+D66</f>
        <v>17076</v>
      </c>
      <c r="E67" s="33">
        <f>E64+E65+E66</f>
        <v>11741.73</v>
      </c>
      <c r="F67" s="145">
        <f>F64+F65+F66</f>
        <v>11124.72</v>
      </c>
      <c r="G67" s="55">
        <f>#N/A</f>
        <v>-617.0100000000002</v>
      </c>
      <c r="H67" s="65">
        <f>F67/E67*100</f>
        <v>94.74515254566406</v>
      </c>
      <c r="I67" s="54">
        <f>#N/A</f>
        <v>-5951.280000000001</v>
      </c>
      <c r="J67" s="54">
        <f>#N/A</f>
        <v>65.14827828531271</v>
      </c>
      <c r="K67" s="54">
        <f>K64+K65+K66</f>
        <v>3361.670000000001</v>
      </c>
      <c r="L67" s="54"/>
      <c r="M67" s="55">
        <f>M64+M65+M66</f>
        <v>2072.85</v>
      </c>
      <c r="N67" s="55">
        <f>N64+N65+N66</f>
        <v>1256.08</v>
      </c>
      <c r="O67" s="54">
        <f>#N/A</f>
        <v>-816.77</v>
      </c>
      <c r="P67" s="54">
        <f>N67/M67*100</f>
        <v>60.596762910967996</v>
      </c>
      <c r="Q67" s="54">
        <f>N67-7985.28</f>
        <v>-6729.2</v>
      </c>
      <c r="R67" s="173">
        <f>N67/7985.28</f>
        <v>0.15729943095295343</v>
      </c>
      <c r="S67" s="174"/>
    </row>
    <row r="68" spans="2:18" ht="46.5">
      <c r="B68" s="14" t="s">
        <v>124</v>
      </c>
      <c r="C68" s="100">
        <v>24062100</v>
      </c>
      <c r="D68" s="28">
        <v>35</v>
      </c>
      <c r="E68" s="28">
        <v>35</v>
      </c>
      <c r="F68" s="146">
        <v>0.35</v>
      </c>
      <c r="G68" s="43">
        <f>#N/A</f>
        <v>-34.65</v>
      </c>
      <c r="H68" s="35">
        <f>F68/E68*100</f>
        <v>1</v>
      </c>
      <c r="I68" s="53">
        <f>#N/A</f>
        <v>-34.65</v>
      </c>
      <c r="J68" s="53">
        <f>#N/A</f>
        <v>1</v>
      </c>
      <c r="K68" s="53">
        <f>F68-35.01</f>
        <v>-34.66</v>
      </c>
      <c r="L68" s="53">
        <f>F68/35.01*100</f>
        <v>0.9997143673236218</v>
      </c>
      <c r="M68" s="35">
        <f>E68-жовтень!E68</f>
        <v>0</v>
      </c>
      <c r="N68" s="35">
        <f>F68-жовтень!F68</f>
        <v>0</v>
      </c>
      <c r="O68" s="47">
        <f>#N/A</f>
        <v>0</v>
      </c>
      <c r="P68" s="53"/>
      <c r="Q68" s="53">
        <f>N68-0.16</f>
        <v>-0.16</v>
      </c>
      <c r="R68" s="129">
        <f>N68/0.16</f>
        <v>0</v>
      </c>
    </row>
    <row r="69" spans="2:18" ht="15">
      <c r="B69" s="26" t="s">
        <v>146</v>
      </c>
      <c r="C69" s="97">
        <v>24061600</v>
      </c>
      <c r="D69" s="28">
        <v>19</v>
      </c>
      <c r="E69" s="28">
        <v>14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E69-жовтень!E69</f>
        <v>0</v>
      </c>
      <c r="N69" s="35">
        <f>F69-жовтень!F69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0.75">
      <c r="B70" s="26" t="s">
        <v>140</v>
      </c>
      <c r="C70" s="97">
        <v>19050000</v>
      </c>
      <c r="D70" s="28">
        <v>0</v>
      </c>
      <c r="E70" s="28">
        <v>0</v>
      </c>
      <c r="F70" s="146">
        <v>1.31</v>
      </c>
      <c r="G70" s="43">
        <f>F70-E70</f>
        <v>1.31</v>
      </c>
      <c r="H70" s="35"/>
      <c r="I70" s="53">
        <f>F70-D70</f>
        <v>1.31</v>
      </c>
      <c r="J70" s="53"/>
      <c r="K70" s="53">
        <f>F70-1.47</f>
        <v>-0.15999999999999992</v>
      </c>
      <c r="L70" s="53">
        <f>F70/1.47*100</f>
        <v>89.11564625850342</v>
      </c>
      <c r="M70" s="35">
        <f>E70-жовтень!E70</f>
        <v>0</v>
      </c>
      <c r="N70" s="35">
        <f>F70-жовтень!F70</f>
        <v>0.17000000000000015</v>
      </c>
      <c r="O70" s="47">
        <f>N70-M70</f>
        <v>0.17000000000000015</v>
      </c>
      <c r="P70" s="53"/>
      <c r="Q70" s="53">
        <f>N70-(-0.21)</f>
        <v>0.3800000000000001</v>
      </c>
      <c r="R70" s="129"/>
    </row>
    <row r="71" spans="2:18" ht="30">
      <c r="B71" s="32" t="s">
        <v>134</v>
      </c>
      <c r="C71" s="97"/>
      <c r="D71" s="33">
        <f>D68+D70+D69</f>
        <v>54</v>
      </c>
      <c r="E71" s="33">
        <f>E68+E70+E69</f>
        <v>49</v>
      </c>
      <c r="F71" s="145">
        <f>F68+F70+F69</f>
        <v>1.6600000000000001</v>
      </c>
      <c r="G71" s="55">
        <f>F71-E71</f>
        <v>-47.34</v>
      </c>
      <c r="H71" s="65">
        <f>F71/E71*100</f>
        <v>3.3877551020408165</v>
      </c>
      <c r="I71" s="54">
        <f>F71-D71</f>
        <v>-52.34</v>
      </c>
      <c r="J71" s="54">
        <f>F71/D71*100</f>
        <v>3.0740740740740744</v>
      </c>
      <c r="K71" s="54">
        <f>K68+K69+K70</f>
        <v>-54.3</v>
      </c>
      <c r="L71" s="54"/>
      <c r="M71" s="55">
        <f>M68+M70+M69</f>
        <v>0</v>
      </c>
      <c r="N71" s="55">
        <f>N68+N70+N69</f>
        <v>0.17000000000000015</v>
      </c>
      <c r="O71" s="54">
        <f>N71-M71</f>
        <v>0.17000000000000015</v>
      </c>
      <c r="P71" s="54"/>
      <c r="Q71" s="54">
        <f>N71-26.38</f>
        <v>-26.209999999999997</v>
      </c>
      <c r="R71" s="128">
        <f>N71/26.38</f>
        <v>0.006444275966641401</v>
      </c>
    </row>
    <row r="72" spans="2:18" ht="30.75">
      <c r="B72" s="14" t="s">
        <v>125</v>
      </c>
      <c r="C72" s="59">
        <v>24110900</v>
      </c>
      <c r="D72" s="28">
        <v>42</v>
      </c>
      <c r="E72" s="28">
        <v>34.42</v>
      </c>
      <c r="F72" s="146">
        <v>30.61</v>
      </c>
      <c r="G72" s="43">
        <f>F72-E72</f>
        <v>-3.8100000000000023</v>
      </c>
      <c r="H72" s="35">
        <f>F72/E72*100</f>
        <v>88.9308541545613</v>
      </c>
      <c r="I72" s="53">
        <f>F72-D72</f>
        <v>-11.39</v>
      </c>
      <c r="J72" s="53">
        <f>F72/D72*100</f>
        <v>72.88095238095238</v>
      </c>
      <c r="K72" s="53">
        <f>F72-34.05</f>
        <v>-3.4399999999999977</v>
      </c>
      <c r="L72" s="53">
        <f>F72/34.05*100</f>
        <v>89.89720998531571</v>
      </c>
      <c r="M72" s="35">
        <f>E72-жовтень!E72</f>
        <v>1</v>
      </c>
      <c r="N72" s="35">
        <f>F72-жовтень!F72</f>
        <v>0.5899999999999999</v>
      </c>
      <c r="O72" s="47">
        <f>N72-M72</f>
        <v>-0.41000000000000014</v>
      </c>
      <c r="P72" s="53">
        <f>N72/M72*100</f>
        <v>58.999999999999986</v>
      </c>
      <c r="Q72" s="53">
        <f>N72-0.45</f>
        <v>0.13999999999999985</v>
      </c>
      <c r="R72" s="129">
        <f>N72/0.45</f>
        <v>1.3111111111111107</v>
      </c>
    </row>
    <row r="73" spans="2:18" ht="1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>
        <f>F73-0</f>
        <v>0.2</v>
      </c>
      <c r="L73" s="53"/>
      <c r="M73" s="35"/>
      <c r="N73" s="35">
        <f>F73-жовтень!F73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11825.15</v>
      </c>
      <c r="F74" s="27">
        <f>F62+F72+F67+F71+F73</f>
        <v>11101.47</v>
      </c>
      <c r="G74" s="44">
        <f>F74-E74</f>
        <v>-723.6800000000003</v>
      </c>
      <c r="H74" s="45">
        <f>F74/E74*100</f>
        <v>93.88016219667404</v>
      </c>
      <c r="I74" s="31">
        <f>F74-D74</f>
        <v>-6070.530000000001</v>
      </c>
      <c r="J74" s="31">
        <f>F74/D74*100</f>
        <v>64.64867225716281</v>
      </c>
      <c r="K74" s="31">
        <f>K62+K67+K71+K72</f>
        <v>2963.400000000001</v>
      </c>
      <c r="L74" s="31"/>
      <c r="M74" s="27">
        <f>M62+M72+M67+M71</f>
        <v>2073.85</v>
      </c>
      <c r="N74" s="27">
        <f>N62+N72+N67+N71+N73</f>
        <v>1255.87</v>
      </c>
      <c r="O74" s="31">
        <f>N74-M74</f>
        <v>-817.98</v>
      </c>
      <c r="P74" s="31">
        <f>N74/M74*100</f>
        <v>60.557417363840194</v>
      </c>
      <c r="Q74" s="31">
        <f>N74-8104.96</f>
        <v>-6849.09</v>
      </c>
      <c r="R74" s="127">
        <f>N74/8104.96</f>
        <v>0.1549507955622236</v>
      </c>
    </row>
    <row r="75" spans="2:18" ht="17.25">
      <c r="B75" s="24" t="s">
        <v>115</v>
      </c>
      <c r="C75" s="88"/>
      <c r="D75" s="27">
        <f>D55+D74</f>
        <v>626827.07</v>
      </c>
      <c r="E75" s="27">
        <f>E55+E74</f>
        <v>588437.0900000001</v>
      </c>
      <c r="F75" s="27">
        <f>F55+F74</f>
        <v>661681.75</v>
      </c>
      <c r="G75" s="44">
        <f>F75-E75</f>
        <v>73244.65999999992</v>
      </c>
      <c r="H75" s="45">
        <f>F75/E75*100</f>
        <v>112.44732210880859</v>
      </c>
      <c r="I75" s="31">
        <f>F75-D75</f>
        <v>34854.68000000005</v>
      </c>
      <c r="J75" s="31">
        <f>F75/D75*100</f>
        <v>105.56049374191834</v>
      </c>
      <c r="K75" s="31">
        <f>K55+K74</f>
        <v>194616.26600000003</v>
      </c>
      <c r="L75" s="31">
        <f>F75/(F75-K75)*100</f>
        <v>141.66787584757603</v>
      </c>
      <c r="M75" s="18">
        <f>M55+M74</f>
        <v>42588.450000000004</v>
      </c>
      <c r="N75" s="18">
        <f>N55+N74</f>
        <v>74146.94000000002</v>
      </c>
      <c r="O75" s="31">
        <f>N75-M75</f>
        <v>31558.490000000013</v>
      </c>
      <c r="P75" s="31">
        <f>N75/M75*100</f>
        <v>174.1010532198284</v>
      </c>
      <c r="Q75" s="31">
        <f>N75-42872.96</f>
        <v>31273.980000000018</v>
      </c>
      <c r="R75" s="127">
        <f>N75/42872.96</f>
        <v>1.7294569817432717</v>
      </c>
    </row>
    <row r="76" spans="2:14" ht="15">
      <c r="B76" s="23" t="s">
        <v>117</v>
      </c>
      <c r="N76" s="29"/>
    </row>
    <row r="77" spans="2:4" ht="15">
      <c r="B77" s="4" t="s">
        <v>119</v>
      </c>
      <c r="C77" s="101">
        <v>0</v>
      </c>
      <c r="D77" s="4" t="s">
        <v>118</v>
      </c>
    </row>
    <row r="78" spans="2:17" ht="30.75">
      <c r="B78" s="71" t="s">
        <v>154</v>
      </c>
      <c r="C78" s="34">
        <f>IF(O55&lt;0,ABS(O55/C77),0)</f>
        <v>0</v>
      </c>
      <c r="D78" s="4" t="s">
        <v>104</v>
      </c>
      <c r="G78" s="266"/>
      <c r="H78" s="266"/>
      <c r="I78" s="266"/>
      <c r="J78" s="266"/>
      <c r="K78" s="115"/>
      <c r="L78" s="115"/>
      <c r="P78" s="29"/>
      <c r="Q78" s="29"/>
    </row>
    <row r="79" spans="2:15" ht="34.5" customHeight="1">
      <c r="B79" s="72" t="s">
        <v>159</v>
      </c>
      <c r="C79" s="111">
        <v>42338</v>
      </c>
      <c r="D79" s="34">
        <v>5905.8</v>
      </c>
      <c r="G79" s="4" t="s">
        <v>166</v>
      </c>
      <c r="N79" s="263"/>
      <c r="O79" s="263"/>
    </row>
    <row r="80" spans="3:15" ht="15">
      <c r="C80" s="111">
        <v>42335</v>
      </c>
      <c r="D80" s="34">
        <v>6852.3</v>
      </c>
      <c r="F80" s="155" t="s">
        <v>166</v>
      </c>
      <c r="G80" s="261"/>
      <c r="H80" s="261"/>
      <c r="I80" s="177"/>
      <c r="J80" s="265"/>
      <c r="K80" s="265"/>
      <c r="L80" s="265"/>
      <c r="M80" s="265"/>
      <c r="N80" s="263"/>
      <c r="O80" s="263"/>
    </row>
    <row r="81" spans="3:15" ht="15.75" customHeight="1">
      <c r="C81" s="111">
        <v>42334</v>
      </c>
      <c r="D81" s="34">
        <v>5522.2</v>
      </c>
      <c r="F81" s="90"/>
      <c r="G81" s="261"/>
      <c r="H81" s="261"/>
      <c r="I81" s="177"/>
      <c r="J81" s="262"/>
      <c r="K81" s="262"/>
      <c r="L81" s="262"/>
      <c r="M81" s="262"/>
      <c r="N81" s="263"/>
      <c r="O81" s="263"/>
    </row>
    <row r="82" spans="3:13" ht="15.75" customHeight="1">
      <c r="C82" s="111"/>
      <c r="F82" s="90"/>
      <c r="G82" s="264"/>
      <c r="H82" s="264"/>
      <c r="I82" s="221"/>
      <c r="J82" s="265"/>
      <c r="K82" s="265"/>
      <c r="L82" s="265"/>
      <c r="M82" s="265"/>
    </row>
    <row r="83" spans="2:13" ht="18.75" customHeight="1">
      <c r="B83" s="270" t="s">
        <v>160</v>
      </c>
      <c r="C83" s="271"/>
      <c r="D83" s="108">
        <v>0.24</v>
      </c>
      <c r="E83" s="220"/>
      <c r="F83" s="222"/>
      <c r="G83" s="261"/>
      <c r="H83" s="261"/>
      <c r="I83" s="223"/>
      <c r="J83" s="265"/>
      <c r="K83" s="265"/>
      <c r="L83" s="265"/>
      <c r="M83" s="265"/>
    </row>
    <row r="84" spans="6:12" ht="9.75" customHeight="1">
      <c r="F84" s="90"/>
      <c r="G84" s="261"/>
      <c r="H84" s="261"/>
      <c r="I84" s="90"/>
      <c r="J84" s="91"/>
      <c r="K84" s="91"/>
      <c r="L84" s="91"/>
    </row>
    <row r="85" spans="2:12" ht="22.5" customHeight="1" hidden="1">
      <c r="B85" s="267" t="s">
        <v>167</v>
      </c>
      <c r="C85" s="268"/>
      <c r="D85" s="110">
        <v>0</v>
      </c>
      <c r="E85" s="70" t="s">
        <v>104</v>
      </c>
      <c r="F85" s="90"/>
      <c r="G85" s="261"/>
      <c r="H85" s="261"/>
      <c r="I85" s="90"/>
      <c r="J85" s="91"/>
      <c r="K85" s="91"/>
      <c r="L85" s="91"/>
    </row>
    <row r="86" spans="4:15" ht="15">
      <c r="D86" s="105"/>
      <c r="F86" s="90"/>
      <c r="G86" s="91"/>
      <c r="H86" s="91"/>
      <c r="I86" s="91"/>
      <c r="N86" s="261"/>
      <c r="O86" s="261"/>
    </row>
    <row r="87" spans="4:15" ht="15">
      <c r="D87" s="104"/>
      <c r="I87" s="34"/>
      <c r="N87" s="269"/>
      <c r="O87" s="269"/>
    </row>
    <row r="88" spans="14:15" ht="15">
      <c r="N88" s="261"/>
      <c r="O88" s="261"/>
    </row>
    <row r="92" ht="15">
      <c r="E92" s="4" t="s">
        <v>166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78:J78"/>
    <mergeCell ref="N79:O79"/>
    <mergeCell ref="G80:H80"/>
    <mergeCell ref="J80:M80"/>
    <mergeCell ref="N80:O80"/>
    <mergeCell ref="J4:J5"/>
    <mergeCell ref="N4:N5"/>
    <mergeCell ref="O4:O5"/>
    <mergeCell ref="K5:L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6" right="0.18" top="0.24" bottom="0.39" header="0.18" footer="0.29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9" sqref="G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50390625" style="4" customWidth="1"/>
    <col min="9" max="9" width="12.75390625" style="4" customWidth="1"/>
    <col min="10" max="10" width="9.50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7" t="s">
        <v>313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117"/>
      <c r="R1" s="118"/>
    </row>
    <row r="2" spans="2:18" s="1" customFormat="1" ht="15.75" customHeight="1">
      <c r="B2" s="248"/>
      <c r="C2" s="248"/>
      <c r="D2" s="24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49"/>
      <c r="B3" s="276"/>
      <c r="C3" s="252" t="s">
        <v>0</v>
      </c>
      <c r="D3" s="274" t="s">
        <v>261</v>
      </c>
      <c r="E3" s="40"/>
      <c r="F3" s="253" t="s">
        <v>107</v>
      </c>
      <c r="G3" s="254"/>
      <c r="H3" s="254"/>
      <c r="I3" s="254"/>
      <c r="J3" s="275"/>
      <c r="K3" s="114"/>
      <c r="L3" s="114"/>
      <c r="M3" s="255" t="s">
        <v>311</v>
      </c>
      <c r="N3" s="236" t="s">
        <v>312</v>
      </c>
      <c r="O3" s="236"/>
      <c r="P3" s="236"/>
      <c r="Q3" s="236"/>
      <c r="R3" s="236"/>
    </row>
    <row r="4" spans="1:18" ht="22.5" customHeight="1">
      <c r="A4" s="249"/>
      <c r="B4" s="276"/>
      <c r="C4" s="252"/>
      <c r="D4" s="274"/>
      <c r="E4" s="237" t="s">
        <v>307</v>
      </c>
      <c r="F4" s="239" t="s">
        <v>116</v>
      </c>
      <c r="G4" s="272" t="s">
        <v>308</v>
      </c>
      <c r="H4" s="243" t="s">
        <v>309</v>
      </c>
      <c r="I4" s="241" t="s">
        <v>217</v>
      </c>
      <c r="J4" s="256" t="s">
        <v>218</v>
      </c>
      <c r="K4" s="116" t="s">
        <v>172</v>
      </c>
      <c r="L4" s="121" t="s">
        <v>171</v>
      </c>
      <c r="M4" s="256"/>
      <c r="N4" s="258" t="s">
        <v>314</v>
      </c>
      <c r="O4" s="241" t="s">
        <v>136</v>
      </c>
      <c r="P4" s="260" t="s">
        <v>135</v>
      </c>
      <c r="Q4" s="122" t="s">
        <v>172</v>
      </c>
      <c r="R4" s="123" t="s">
        <v>171</v>
      </c>
    </row>
    <row r="5" spans="1:19" ht="92.25" customHeight="1">
      <c r="A5" s="250"/>
      <c r="B5" s="276"/>
      <c r="C5" s="252"/>
      <c r="D5" s="274"/>
      <c r="E5" s="238"/>
      <c r="F5" s="240"/>
      <c r="G5" s="273"/>
      <c r="H5" s="244"/>
      <c r="I5" s="242"/>
      <c r="J5" s="257"/>
      <c r="K5" s="245" t="s">
        <v>310</v>
      </c>
      <c r="L5" s="246"/>
      <c r="M5" s="257"/>
      <c r="N5" s="259"/>
      <c r="O5" s="242"/>
      <c r="P5" s="260"/>
      <c r="Q5" s="245" t="s">
        <v>176</v>
      </c>
      <c r="R5" s="24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7.2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503525.47000000003</v>
      </c>
      <c r="F8" s="18">
        <f>F9+F15+F18+F19+F20+F32+F17</f>
        <v>542586.23</v>
      </c>
      <c r="G8" s="18">
        <f>#N/A</f>
        <v>39060.75999999995</v>
      </c>
      <c r="H8" s="45">
        <f>F8/E8*100</f>
        <v>107.75745465269115</v>
      </c>
      <c r="I8" s="31">
        <f>#N/A</f>
        <v>-29702.77000000002</v>
      </c>
      <c r="J8" s="31">
        <f>#N/A</f>
        <v>94.80983034795356</v>
      </c>
      <c r="K8" s="18">
        <f>K9+K15+K18+K19+K20+K32</f>
        <v>141361.388</v>
      </c>
      <c r="L8" s="18"/>
      <c r="M8" s="18">
        <f>M9+M15+M18+M19+M20+M32+M17</f>
        <v>44772.97000000001</v>
      </c>
      <c r="N8" s="18">
        <f>N9+N15+N18+N19+N20+N32+N17</f>
        <v>61706.98000000002</v>
      </c>
      <c r="O8" s="31">
        <f>#N/A</f>
        <v>16934.01000000001</v>
      </c>
      <c r="P8" s="31">
        <f>F8/M8*100</f>
        <v>1211.8611519405567</v>
      </c>
      <c r="Q8" s="31">
        <f>N8-33748.16</f>
        <v>27958.820000000014</v>
      </c>
      <c r="R8" s="125">
        <f>N8/33748.16</f>
        <v>1.8284546476015289</v>
      </c>
    </row>
    <row r="9" spans="1:19" s="6" customFormat="1" ht="15">
      <c r="A9" s="8"/>
      <c r="B9" s="15" t="s">
        <v>223</v>
      </c>
      <c r="C9" s="59">
        <v>11010000</v>
      </c>
      <c r="D9" s="36">
        <v>312190</v>
      </c>
      <c r="E9" s="36">
        <v>269865.12</v>
      </c>
      <c r="F9" s="143">
        <v>296275.33</v>
      </c>
      <c r="G9" s="43">
        <f>#N/A</f>
        <v>26410.21000000002</v>
      </c>
      <c r="H9" s="35">
        <f>#N/A</f>
        <v>109.78644813379366</v>
      </c>
      <c r="I9" s="50">
        <f>#N/A</f>
        <v>-15914.669999999984</v>
      </c>
      <c r="J9" s="50">
        <f>#N/A</f>
        <v>94.90224863064161</v>
      </c>
      <c r="K9" s="132">
        <f>F9-316022.19/75*60</f>
        <v>43457.57800000001</v>
      </c>
      <c r="L9" s="132">
        <f>F9/(316022.19/75*60)*100</f>
        <v>117.18929056848826</v>
      </c>
      <c r="M9" s="35">
        <f>E9-вересень!E9</f>
        <v>21250.570000000007</v>
      </c>
      <c r="N9" s="35">
        <f>F9-вересень!F9</f>
        <v>31899.920000000042</v>
      </c>
      <c r="O9" s="47">
        <f>#N/A</f>
        <v>10649.350000000035</v>
      </c>
      <c r="P9" s="50">
        <f>#N/A</f>
        <v>150.11324402121934</v>
      </c>
      <c r="Q9" s="132">
        <f>N9-26568.11</f>
        <v>5331.810000000041</v>
      </c>
      <c r="R9" s="133">
        <f>N9/26568.11</f>
        <v>1.200684580122562</v>
      </c>
      <c r="S9" s="158"/>
    </row>
    <row r="10" spans="1:18" s="6" customFormat="1" ht="15" hidden="1">
      <c r="A10" s="8"/>
      <c r="B10" s="183" t="s">
        <v>253</v>
      </c>
      <c r="C10" s="134">
        <v>11010100</v>
      </c>
      <c r="D10" s="135">
        <v>270410</v>
      </c>
      <c r="E10" s="135">
        <v>235960.82</v>
      </c>
      <c r="F10" s="144">
        <v>262635.28</v>
      </c>
      <c r="G10" s="135">
        <f>#N/A</f>
        <v>26674.46000000002</v>
      </c>
      <c r="H10" s="137">
        <f>#N/A</f>
        <v>111.3046140456708</v>
      </c>
      <c r="I10" s="136">
        <f>#N/A</f>
        <v>-7774.719999999972</v>
      </c>
      <c r="J10" s="136">
        <f>#N/A</f>
        <v>97.1248400576902</v>
      </c>
      <c r="K10" s="138">
        <f>F10-281171.58/75*60</f>
        <v>37698.01600000003</v>
      </c>
      <c r="L10" s="138">
        <f>F10/(281171.58/75*60)*100</f>
        <v>116.75934673056219</v>
      </c>
      <c r="M10" s="137">
        <f>E10-вересень!E10</f>
        <v>17470.570000000007</v>
      </c>
      <c r="N10" s="137">
        <f>F10-вересень!F10</f>
        <v>28698.800000000017</v>
      </c>
      <c r="O10" s="138">
        <f>#N/A</f>
        <v>11228.23000000001</v>
      </c>
      <c r="P10" s="136">
        <f>#N/A</f>
        <v>164.26939704886564</v>
      </c>
      <c r="Q10" s="50"/>
      <c r="R10" s="126"/>
    </row>
    <row r="11" spans="1:18" s="6" customFormat="1" ht="15" hidden="1">
      <c r="A11" s="8"/>
      <c r="B11" s="183" t="s">
        <v>249</v>
      </c>
      <c r="C11" s="134">
        <v>11010200</v>
      </c>
      <c r="D11" s="135">
        <v>23200</v>
      </c>
      <c r="E11" s="135">
        <v>18917.9</v>
      </c>
      <c r="F11" s="144">
        <v>15809.04</v>
      </c>
      <c r="G11" s="135">
        <f>#N/A</f>
        <v>-3108.8600000000006</v>
      </c>
      <c r="H11" s="137">
        <f>#N/A</f>
        <v>83.56656922808557</v>
      </c>
      <c r="I11" s="136">
        <f>#N/A</f>
        <v>-7390.959999999999</v>
      </c>
      <c r="J11" s="136">
        <f>#N/A</f>
        <v>68.14241379310346</v>
      </c>
      <c r="K11" s="138">
        <f>F11-21169.22/75*60</f>
        <v>-1126.336000000003</v>
      </c>
      <c r="L11" s="138">
        <f>F11/(21169.22/75*60)*100</f>
        <v>93.34921173288386</v>
      </c>
      <c r="M11" s="137">
        <f>E11-вересень!E11</f>
        <v>2130</v>
      </c>
      <c r="N11" s="137">
        <f>F11-вересень!F11</f>
        <v>1806.3500000000004</v>
      </c>
      <c r="O11" s="138">
        <f>#N/A</f>
        <v>-323.64999999999964</v>
      </c>
      <c r="P11" s="136">
        <f>#N/A</f>
        <v>84.80516431924883</v>
      </c>
      <c r="Q11" s="50"/>
      <c r="R11" s="126"/>
    </row>
    <row r="12" spans="1:18" s="6" customFormat="1" ht="15" hidden="1">
      <c r="A12" s="8"/>
      <c r="B12" s="183" t="s">
        <v>252</v>
      </c>
      <c r="C12" s="134">
        <v>11010400</v>
      </c>
      <c r="D12" s="135">
        <v>5800</v>
      </c>
      <c r="E12" s="135">
        <v>4449</v>
      </c>
      <c r="F12" s="144">
        <v>4169.14</v>
      </c>
      <c r="G12" s="135">
        <f>#N/A</f>
        <v>-279.8599999999997</v>
      </c>
      <c r="H12" s="137">
        <f>#N/A</f>
        <v>93.70959766239605</v>
      </c>
      <c r="I12" s="136">
        <f>#N/A</f>
        <v>-1630.8599999999997</v>
      </c>
      <c r="J12" s="136">
        <f>#N/A</f>
        <v>71.88172413793103</v>
      </c>
      <c r="K12" s="138">
        <f>F12-5687.46/75*60</f>
        <v>-380.82800000000043</v>
      </c>
      <c r="L12" s="138">
        <f>F12/(5687.46*60)*100</f>
        <v>1.2217345997451705</v>
      </c>
      <c r="M12" s="137">
        <f>E12-вересень!E12</f>
        <v>540</v>
      </c>
      <c r="N12" s="137">
        <f>F12-вересень!F12</f>
        <v>424.50000000000045</v>
      </c>
      <c r="O12" s="138">
        <f>#N/A</f>
        <v>-115.49999999999955</v>
      </c>
      <c r="P12" s="136">
        <f>#N/A</f>
        <v>78.6111111111112</v>
      </c>
      <c r="Q12" s="50"/>
      <c r="R12" s="126"/>
    </row>
    <row r="13" spans="1:18" s="6" customFormat="1" ht="15" hidden="1">
      <c r="A13" s="8"/>
      <c r="B13" s="183" t="s">
        <v>250</v>
      </c>
      <c r="C13" s="134">
        <v>11010500</v>
      </c>
      <c r="D13" s="135">
        <v>8400</v>
      </c>
      <c r="E13" s="135">
        <v>6943.4</v>
      </c>
      <c r="F13" s="144">
        <v>6098.87</v>
      </c>
      <c r="G13" s="135">
        <f>#N/A</f>
        <v>-844.5299999999997</v>
      </c>
      <c r="H13" s="137">
        <f>#N/A</f>
        <v>87.83693867557682</v>
      </c>
      <c r="I13" s="136">
        <f>#N/A</f>
        <v>-2301.13</v>
      </c>
      <c r="J13" s="136">
        <f>#N/A</f>
        <v>72.60559523809523</v>
      </c>
      <c r="K13" s="138">
        <f>F13-7878.81/75*60</f>
        <v>-204.1780000000008</v>
      </c>
      <c r="L13" s="138">
        <f>F13/(7878.81/75*60)*100</f>
        <v>96.76064659510763</v>
      </c>
      <c r="M13" s="137">
        <f>E13-вересень!E13</f>
        <v>720</v>
      </c>
      <c r="N13" s="137">
        <f>F13-вересень!F13</f>
        <v>368.6300000000001</v>
      </c>
      <c r="O13" s="138">
        <f>#N/A</f>
        <v>-351.3699999999999</v>
      </c>
      <c r="P13" s="136">
        <f>#N/A</f>
        <v>51.19861111111113</v>
      </c>
      <c r="Q13" s="50"/>
      <c r="R13" s="126"/>
    </row>
    <row r="14" spans="1:18" s="6" customFormat="1" ht="15" hidden="1">
      <c r="A14" s="8"/>
      <c r="B14" s="183" t="s">
        <v>251</v>
      </c>
      <c r="C14" s="134">
        <v>11010900</v>
      </c>
      <c r="D14" s="135">
        <v>4380</v>
      </c>
      <c r="E14" s="135">
        <v>3594</v>
      </c>
      <c r="F14" s="144">
        <v>7562.97</v>
      </c>
      <c r="G14" s="135">
        <f>#N/A</f>
        <v>3968.9700000000003</v>
      </c>
      <c r="H14" s="137">
        <f>#N/A</f>
        <v>210.4332220367279</v>
      </c>
      <c r="I14" s="136">
        <f>#N/A</f>
        <v>3182.9700000000003</v>
      </c>
      <c r="J14" s="136">
        <f>#N/A</f>
        <v>172.6705479452055</v>
      </c>
      <c r="K14" s="138">
        <f>F14-115.12/75*60</f>
        <v>7470.874</v>
      </c>
      <c r="L14" s="138">
        <f>F14/(115.12/75*60)*100</f>
        <v>8212.050469075748</v>
      </c>
      <c r="M14" s="137">
        <f>E14-вересень!E14</f>
        <v>390</v>
      </c>
      <c r="N14" s="137">
        <f>F14-вересень!F14</f>
        <v>601.6100000000006</v>
      </c>
      <c r="O14" s="138">
        <f>#N/A</f>
        <v>211.61000000000058</v>
      </c>
      <c r="P14" s="136">
        <f>#N/A</f>
        <v>154.2589743589745</v>
      </c>
      <c r="Q14" s="50"/>
      <c r="R14" s="126"/>
    </row>
    <row r="15" spans="1:18" s="6" customFormat="1" ht="30.75">
      <c r="A15" s="8"/>
      <c r="B15" s="14" t="s">
        <v>19</v>
      </c>
      <c r="C15" s="59">
        <v>11020200</v>
      </c>
      <c r="D15" s="36">
        <v>500</v>
      </c>
      <c r="E15" s="36">
        <v>171.4</v>
      </c>
      <c r="F15" s="143">
        <v>-590.87</v>
      </c>
      <c r="G15" s="43">
        <f>#N/A</f>
        <v>-762.27</v>
      </c>
      <c r="H15" s="35"/>
      <c r="I15" s="50">
        <f>#N/A</f>
        <v>-1090.87</v>
      </c>
      <c r="J15" s="50">
        <f>F15/D15*100</f>
        <v>-118.174</v>
      </c>
      <c r="K15" s="53">
        <f>F15-(-880.89)</f>
        <v>290.02</v>
      </c>
      <c r="L15" s="53">
        <f>F15/(-880.89)*100</f>
        <v>67.07647946962732</v>
      </c>
      <c r="M15" s="35">
        <f>E15-вересень!E15</f>
        <v>0</v>
      </c>
      <c r="N15" s="35">
        <f>F15-вересень!F15</f>
        <v>75.82000000000005</v>
      </c>
      <c r="O15" s="47">
        <f>#N/A</f>
        <v>75.82000000000005</v>
      </c>
      <c r="P15" s="50"/>
      <c r="Q15" s="50">
        <f>N15-358.81</f>
        <v>-282.98999999999995</v>
      </c>
      <c r="R15" s="126">
        <f>N15/358.81</f>
        <v>0.2113096067556647</v>
      </c>
    </row>
    <row r="16" spans="1:18" s="6" customFormat="1" ht="15" hidden="1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0</v>
      </c>
      <c r="G16" s="135">
        <f>#N/A</f>
        <v>0</v>
      </c>
      <c r="H16" s="137"/>
      <c r="I16" s="136">
        <f>#N/A</f>
        <v>0</v>
      </c>
      <c r="J16" s="136"/>
      <c r="K16" s="138">
        <f>F16-(-381.9)</f>
        <v>381.9</v>
      </c>
      <c r="L16" s="138">
        <f>F16/(-381.9)*100</f>
        <v>0</v>
      </c>
      <c r="M16" s="35">
        <f>E16-вересень!E16</f>
        <v>0</v>
      </c>
      <c r="N16" s="35">
        <f>F16-вересень!F16</f>
        <v>1165.92</v>
      </c>
      <c r="O16" s="138">
        <f>#N/A</f>
        <v>1165.92</v>
      </c>
      <c r="P16" s="50"/>
      <c r="Q16" s="136">
        <f>N16-358.81</f>
        <v>807.1100000000001</v>
      </c>
      <c r="R16" s="141">
        <f>N16/358.79</f>
        <v>3.2495888960115944</v>
      </c>
    </row>
    <row r="17" spans="1:18" s="6" customFormat="1" ht="30.7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0.14</v>
      </c>
      <c r="G17" s="135"/>
      <c r="H17" s="137"/>
      <c r="I17" s="136"/>
      <c r="J17" s="136"/>
      <c r="K17" s="138">
        <f>F17-0.04</f>
        <v>0.1</v>
      </c>
      <c r="L17" s="138"/>
      <c r="M17" s="35">
        <f>E17-вересень!E17</f>
        <v>0</v>
      </c>
      <c r="N17" s="35">
        <f>F17-вересень!F17</f>
        <v>0.05000000000000002</v>
      </c>
      <c r="O17" s="138"/>
      <c r="P17" s="50"/>
      <c r="Q17" s="136"/>
      <c r="R17" s="141"/>
    </row>
    <row r="18" spans="1:18" s="6" customFormat="1" ht="30.7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>#N/A</f>
        <v>2.8000000000000007</v>
      </c>
      <c r="H18" s="35">
        <f>#N/A</f>
        <v>121.53846153846155</v>
      </c>
      <c r="I18" s="50">
        <f>#N/A</f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E18-вересень!E18</f>
        <v>0</v>
      </c>
      <c r="N18" s="35">
        <f>F18-вересень!F18</f>
        <v>0</v>
      </c>
      <c r="O18" s="47">
        <f>#N/A</f>
        <v>0</v>
      </c>
      <c r="P18" s="50" t="e">
        <f>#N/A</f>
        <v>#DIV/0!</v>
      </c>
      <c r="Q18" s="50"/>
      <c r="R18" s="126"/>
    </row>
    <row r="19" spans="1:18" s="6" customFormat="1" ht="46.5">
      <c r="A19" s="8"/>
      <c r="B19" s="60" t="s">
        <v>204</v>
      </c>
      <c r="C19" s="59">
        <v>14040000</v>
      </c>
      <c r="D19" s="43">
        <f>29950+32260</f>
        <v>62210</v>
      </c>
      <c r="E19" s="43">
        <v>57522.75</v>
      </c>
      <c r="F19" s="168">
        <v>58485.05</v>
      </c>
      <c r="G19" s="43">
        <f>#N/A</f>
        <v>962.3000000000029</v>
      </c>
      <c r="H19" s="35">
        <f>#N/A</f>
        <v>101.67290332955223</v>
      </c>
      <c r="I19" s="50">
        <f>#N/A</f>
        <v>-3724.949999999997</v>
      </c>
      <c r="J19" s="178">
        <f>F19/D19*100</f>
        <v>94.01229705835075</v>
      </c>
      <c r="K19" s="179">
        <f>F19-0</f>
        <v>58485.05</v>
      </c>
      <c r="L19" s="180"/>
      <c r="M19" s="35">
        <f>E19-вересень!E19</f>
        <v>6800</v>
      </c>
      <c r="N19" s="35">
        <f>F19-вересень!F19</f>
        <v>7016.18</v>
      </c>
      <c r="O19" s="47">
        <f>#N/A</f>
        <v>216.1800000000003</v>
      </c>
      <c r="P19" s="50">
        <f>#N/A</f>
        <v>103.17911764705883</v>
      </c>
      <c r="Q19" s="139"/>
      <c r="R19" s="140"/>
    </row>
    <row r="20" spans="1:18" s="6" customFormat="1" ht="1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170193.9</v>
      </c>
      <c r="F20" s="169">
        <f>F21+F25+F27+F26</f>
        <v>182815.02999999997</v>
      </c>
      <c r="G20" s="43">
        <f>#N/A</f>
        <v>12621.129999999976</v>
      </c>
      <c r="H20" s="35">
        <f>#N/A</f>
        <v>107.41573581661856</v>
      </c>
      <c r="I20" s="50">
        <f>#N/A</f>
        <v>-7054.97000000003</v>
      </c>
      <c r="J20" s="178">
        <f>#N/A</f>
        <v>96.28431558434717</v>
      </c>
      <c r="K20" s="178">
        <f>K21+K25+K26+K27</f>
        <v>40909.45999999999</v>
      </c>
      <c r="L20" s="136"/>
      <c r="M20" s="35">
        <f>E20-вересень!E20</f>
        <v>16715.5</v>
      </c>
      <c r="N20" s="35">
        <f>F20-вересень!F20</f>
        <v>22708.439999999973</v>
      </c>
      <c r="O20" s="47">
        <f>#N/A</f>
        <v>5992.939999999973</v>
      </c>
      <c r="P20" s="50">
        <f>#N/A</f>
        <v>135.85259190571608</v>
      </c>
      <c r="Q20" s="139"/>
      <c r="R20" s="140"/>
    </row>
    <row r="21" spans="1:18" s="6" customFormat="1" ht="1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96282.4</v>
      </c>
      <c r="F21" s="169">
        <f>F22+F23+F24</f>
        <v>100774.79</v>
      </c>
      <c r="G21" s="43">
        <f>#N/A</f>
        <v>4492.389999999999</v>
      </c>
      <c r="H21" s="35">
        <f>#N/A</f>
        <v>104.6658475484616</v>
      </c>
      <c r="I21" s="50">
        <f>#N/A</f>
        <v>-9525.210000000006</v>
      </c>
      <c r="J21" s="178">
        <f>#N/A</f>
        <v>91.36427017225748</v>
      </c>
      <c r="K21" s="178">
        <f>K22+K23+K24</f>
        <v>32070.95</v>
      </c>
      <c r="L21" s="136"/>
      <c r="M21" s="35">
        <f>E21-вересень!E21</f>
        <v>10382</v>
      </c>
      <c r="N21" s="35">
        <f>F21-вересень!F21</f>
        <v>11795.470000000001</v>
      </c>
      <c r="O21" s="47">
        <f>#N/A</f>
        <v>1413.4700000000012</v>
      </c>
      <c r="P21" s="50">
        <f>#N/A</f>
        <v>113.61462146021961</v>
      </c>
      <c r="Q21" s="139"/>
      <c r="R21" s="140"/>
    </row>
    <row r="22" spans="1:18" s="6" customFormat="1" ht="15">
      <c r="A22" s="8"/>
      <c r="B22" s="69" t="s">
        <v>209</v>
      </c>
      <c r="C22" s="59"/>
      <c r="D22" s="135">
        <f>1000+9700</f>
        <v>10700</v>
      </c>
      <c r="E22" s="135">
        <v>10645.4</v>
      </c>
      <c r="F22" s="144">
        <v>12486.13</v>
      </c>
      <c r="G22" s="135">
        <f>#N/A</f>
        <v>1840.7299999999996</v>
      </c>
      <c r="H22" s="137">
        <f>#N/A</f>
        <v>117.2913183158923</v>
      </c>
      <c r="I22" s="136">
        <f>#N/A</f>
        <v>1786.1299999999992</v>
      </c>
      <c r="J22" s="136">
        <f>#N/A</f>
        <v>116.69280373831774</v>
      </c>
      <c r="K22" s="136">
        <f>F22-437</f>
        <v>12049.13</v>
      </c>
      <c r="L22" s="136">
        <f>F22/437*100</f>
        <v>2857.2379862700227</v>
      </c>
      <c r="M22" s="137">
        <f>E22-вересень!E22</f>
        <v>1851</v>
      </c>
      <c r="N22" s="137">
        <f>F22-вересень!F22</f>
        <v>3354.449999999999</v>
      </c>
      <c r="O22" s="138">
        <f>#N/A</f>
        <v>1503.449999999999</v>
      </c>
      <c r="P22" s="136">
        <f>#N/A</f>
        <v>181.22366288492702</v>
      </c>
      <c r="Q22" s="139"/>
      <c r="R22" s="140"/>
    </row>
    <row r="23" spans="1:18" s="6" customFormat="1" ht="15">
      <c r="A23" s="8"/>
      <c r="B23" s="69" t="s">
        <v>210</v>
      </c>
      <c r="C23" s="59"/>
      <c r="D23" s="135">
        <f>1500+600</f>
        <v>2100</v>
      </c>
      <c r="E23" s="135">
        <v>2092</v>
      </c>
      <c r="F23" s="144">
        <v>3493.96</v>
      </c>
      <c r="G23" s="135">
        <f>#N/A</f>
        <v>1401.96</v>
      </c>
      <c r="H23" s="137">
        <f>#N/A</f>
        <v>167.0152963671128</v>
      </c>
      <c r="I23" s="136">
        <f>#N/A</f>
        <v>1393.96</v>
      </c>
      <c r="J23" s="136">
        <f>#N/A</f>
        <v>166.37904761904764</v>
      </c>
      <c r="K23" s="136">
        <f>F23-0</f>
        <v>3493.96</v>
      </c>
      <c r="L23" s="136"/>
      <c r="M23" s="137">
        <f>E23-вересень!E23</f>
        <v>305</v>
      </c>
      <c r="N23" s="137">
        <f>F23-вересень!F23</f>
        <v>160.32999999999993</v>
      </c>
      <c r="O23" s="138">
        <f>#N/A</f>
        <v>-144.67000000000007</v>
      </c>
      <c r="P23" s="136"/>
      <c r="Q23" s="139"/>
      <c r="R23" s="140"/>
    </row>
    <row r="24" spans="1:18" s="6" customFormat="1" ht="15">
      <c r="A24" s="8"/>
      <c r="B24" s="69" t="s">
        <v>211</v>
      </c>
      <c r="C24" s="59"/>
      <c r="D24" s="135">
        <f>95700+1800</f>
        <v>97500</v>
      </c>
      <c r="E24" s="135">
        <v>83545</v>
      </c>
      <c r="F24" s="144">
        <v>84794.7</v>
      </c>
      <c r="G24" s="135">
        <f>#N/A</f>
        <v>1249.699999999997</v>
      </c>
      <c r="H24" s="137">
        <f>#N/A</f>
        <v>101.495840564965</v>
      </c>
      <c r="I24" s="136">
        <f>#N/A</f>
        <v>-12705.300000000003</v>
      </c>
      <c r="J24" s="136">
        <f>#N/A</f>
        <v>86.96892307692308</v>
      </c>
      <c r="K24" s="224">
        <f>F24-68266.84</f>
        <v>16527.86</v>
      </c>
      <c r="L24" s="224">
        <f>F24/68266.84*100</f>
        <v>124.2106709494683</v>
      </c>
      <c r="M24" s="137">
        <f>E24-вересень!E24</f>
        <v>8226</v>
      </c>
      <c r="N24" s="137">
        <f>F24-вересень!F24</f>
        <v>8280.690000000002</v>
      </c>
      <c r="O24" s="138">
        <f>#N/A</f>
        <v>54.69000000000233</v>
      </c>
      <c r="P24" s="136">
        <f>#N/A</f>
        <v>100.66484318016049</v>
      </c>
      <c r="Q24" s="139"/>
      <c r="R24" s="140"/>
    </row>
    <row r="25" spans="1:18" s="6" customFormat="1" ht="15">
      <c r="A25" s="8"/>
      <c r="B25" s="60" t="s">
        <v>244</v>
      </c>
      <c r="C25" s="170">
        <v>18030000</v>
      </c>
      <c r="D25" s="43">
        <v>70</v>
      </c>
      <c r="E25" s="43">
        <v>51.5</v>
      </c>
      <c r="F25" s="168">
        <v>60.64</v>
      </c>
      <c r="G25" s="43">
        <f>#N/A</f>
        <v>9.14</v>
      </c>
      <c r="H25" s="35">
        <f>#N/A</f>
        <v>117.74757281553399</v>
      </c>
      <c r="I25" s="50">
        <f>#N/A</f>
        <v>-9.36</v>
      </c>
      <c r="J25" s="178">
        <f>#N/A</f>
        <v>86.62857142857143</v>
      </c>
      <c r="K25" s="178">
        <f>F25-48.79</f>
        <v>11.850000000000001</v>
      </c>
      <c r="L25" s="178">
        <f>F25/48.79*100</f>
        <v>124.28776388604223</v>
      </c>
      <c r="M25" s="35">
        <f>E25-вересень!E25</f>
        <v>10</v>
      </c>
      <c r="N25" s="35">
        <f>F25-вересень!F25</f>
        <v>4.789999999999999</v>
      </c>
      <c r="O25" s="47">
        <f>#N/A</f>
        <v>-5.210000000000001</v>
      </c>
      <c r="P25" s="50">
        <f>#N/A</f>
        <v>47.89999999999999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-740.94</v>
      </c>
      <c r="G26" s="43">
        <f>#N/A</f>
        <v>-740.94</v>
      </c>
      <c r="H26" s="35"/>
      <c r="I26" s="50">
        <f>#N/A</f>
        <v>-740.94</v>
      </c>
      <c r="J26" s="136"/>
      <c r="K26" s="178">
        <f>F26-5295.66</f>
        <v>-6036.6</v>
      </c>
      <c r="L26" s="178">
        <f>F26/5295.66*100</f>
        <v>-13.991457155482037</v>
      </c>
      <c r="M26" s="35">
        <f>E26-вересень!E26</f>
        <v>0</v>
      </c>
      <c r="N26" s="35">
        <f>F26-вересень!F26</f>
        <v>-34.960000000000036</v>
      </c>
      <c r="O26" s="47">
        <f>#N/A</f>
        <v>-34.960000000000036</v>
      </c>
      <c r="P26" s="50"/>
      <c r="Q26" s="139"/>
      <c r="R26" s="140"/>
    </row>
    <row r="27" spans="1:18" s="6" customFormat="1" ht="15">
      <c r="A27" s="8"/>
      <c r="B27" s="60" t="s">
        <v>246</v>
      </c>
      <c r="C27" s="170">
        <v>18050000</v>
      </c>
      <c r="D27" s="43">
        <f>68500+11000</f>
        <v>79500</v>
      </c>
      <c r="E27" s="43">
        <v>73860</v>
      </c>
      <c r="F27" s="168">
        <v>82720.54</v>
      </c>
      <c r="G27" s="43">
        <f>#N/A</f>
        <v>8860.539999999994</v>
      </c>
      <c r="H27" s="35">
        <f>#N/A</f>
        <v>111.99639859193067</v>
      </c>
      <c r="I27" s="50">
        <f>#N/A</f>
        <v>3220.5399999999936</v>
      </c>
      <c r="J27" s="178">
        <f>#N/A</f>
        <v>104.05099371069181</v>
      </c>
      <c r="K27" s="132">
        <f>F27-67857.28</f>
        <v>14863.259999999995</v>
      </c>
      <c r="L27" s="132">
        <f>F27/67857.28*100</f>
        <v>121.90370731040205</v>
      </c>
      <c r="M27" s="35">
        <f>E27-вересень!E27</f>
        <v>6323.5</v>
      </c>
      <c r="N27" s="35">
        <f>F27-вересень!F27</f>
        <v>10943.14</v>
      </c>
      <c r="O27" s="47">
        <f>#N/A</f>
        <v>4619.639999999999</v>
      </c>
      <c r="P27" s="50">
        <f>#N/A</f>
        <v>173.0551118842413</v>
      </c>
      <c r="Q27" s="139"/>
      <c r="R27" s="140"/>
    </row>
    <row r="28" spans="1:18" s="6" customFormat="1" ht="1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>#N/A</f>
        <v>-1.17</v>
      </c>
      <c r="H28" s="137"/>
      <c r="I28" s="136">
        <f>#N/A</f>
        <v>-1.17</v>
      </c>
      <c r="J28" s="136"/>
      <c r="K28" s="139">
        <f>F28-1.2</f>
        <v>-2.37</v>
      </c>
      <c r="L28" s="139">
        <f>F28/1.2*100</f>
        <v>-97.5</v>
      </c>
      <c r="M28" s="137">
        <f>E28-вересень!E28</f>
        <v>0</v>
      </c>
      <c r="N28" s="137">
        <f>F28-вересень!F28</f>
        <v>0</v>
      </c>
      <c r="O28" s="138">
        <f>#N/A</f>
        <v>0</v>
      </c>
      <c r="P28" s="136"/>
      <c r="Q28" s="139"/>
      <c r="R28" s="140"/>
    </row>
    <row r="29" spans="1:18" s="6" customFormat="1" ht="15" hidden="1">
      <c r="A29" s="8"/>
      <c r="B29" s="69" t="s">
        <v>255</v>
      </c>
      <c r="C29" s="134">
        <v>18050300</v>
      </c>
      <c r="D29" s="135">
        <v>19200</v>
      </c>
      <c r="E29" s="135">
        <v>18080</v>
      </c>
      <c r="F29" s="144">
        <v>19963.33</v>
      </c>
      <c r="G29" s="135">
        <f>#N/A</f>
        <v>1883.3300000000017</v>
      </c>
      <c r="H29" s="137">
        <f>#N/A</f>
        <v>110.4166482300885</v>
      </c>
      <c r="I29" s="136">
        <f>#N/A</f>
        <v>763.3300000000017</v>
      </c>
      <c r="J29" s="136">
        <f>#N/A</f>
        <v>103.97567708333335</v>
      </c>
      <c r="K29" s="139">
        <f>F29-18415.97</f>
        <v>1547.3600000000006</v>
      </c>
      <c r="L29" s="139">
        <f>F29/18415.97*100</f>
        <v>108.4022725927551</v>
      </c>
      <c r="M29" s="137">
        <f>E29-вересень!E29</f>
        <v>1300</v>
      </c>
      <c r="N29" s="137">
        <f>F29-вересень!F29</f>
        <v>2223.5700000000033</v>
      </c>
      <c r="O29" s="138">
        <f>#N/A</f>
        <v>923.5700000000033</v>
      </c>
      <c r="P29" s="136"/>
      <c r="Q29" s="139"/>
      <c r="R29" s="140"/>
    </row>
    <row r="30" spans="1:18" s="6" customFormat="1" ht="15" hidden="1">
      <c r="A30" s="8"/>
      <c r="B30" s="69" t="s">
        <v>256</v>
      </c>
      <c r="C30" s="134">
        <v>18050400</v>
      </c>
      <c r="D30" s="135">
        <v>60300</v>
      </c>
      <c r="E30" s="135">
        <v>55780</v>
      </c>
      <c r="F30" s="144">
        <v>62729.49</v>
      </c>
      <c r="G30" s="135">
        <f>#N/A</f>
        <v>6949.489999999998</v>
      </c>
      <c r="H30" s="137">
        <f>#N/A</f>
        <v>112.45874865543206</v>
      </c>
      <c r="I30" s="136">
        <f>#N/A</f>
        <v>2429.489999999998</v>
      </c>
      <c r="J30" s="136">
        <f>#N/A</f>
        <v>104.02900497512437</v>
      </c>
      <c r="K30" s="139">
        <f>F30-49440.11</f>
        <v>13289.379999999997</v>
      </c>
      <c r="L30" s="139">
        <f>F30/49440.11*100</f>
        <v>126.87975411057944</v>
      </c>
      <c r="M30" s="137">
        <f>E30-вересень!E30</f>
        <v>5023.5</v>
      </c>
      <c r="N30" s="137">
        <f>F30-вересень!F30</f>
        <v>8713.519999999997</v>
      </c>
      <c r="O30" s="138">
        <f>#N/A</f>
        <v>3690.019999999997</v>
      </c>
      <c r="P30" s="136"/>
      <c r="Q30" s="139"/>
      <c r="R30" s="140"/>
    </row>
    <row r="31" spans="1:18" s="6" customFormat="1" ht="1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28.89</v>
      </c>
      <c r="G31" s="135">
        <f>#N/A</f>
        <v>28.89</v>
      </c>
      <c r="H31" s="137"/>
      <c r="I31" s="136">
        <f>#N/A</f>
        <v>28.89</v>
      </c>
      <c r="J31" s="136"/>
      <c r="K31" s="139">
        <f>F31-0</f>
        <v>28.89</v>
      </c>
      <c r="L31" s="139"/>
      <c r="M31" s="137">
        <f>E31-вересень!E31</f>
        <v>0</v>
      </c>
      <c r="N31" s="137">
        <f>F31-вересень!F31</f>
        <v>6.050000000000001</v>
      </c>
      <c r="O31" s="138">
        <f>#N/A</f>
        <v>6.050000000000001</v>
      </c>
      <c r="P31" s="136"/>
      <c r="Q31" s="139"/>
      <c r="R31" s="140"/>
    </row>
    <row r="32" spans="1:18" s="6" customFormat="1" ht="15">
      <c r="A32" s="8"/>
      <c r="B32" s="60" t="s">
        <v>132</v>
      </c>
      <c r="C32" s="59">
        <v>19010000</v>
      </c>
      <c r="D32" s="43">
        <v>7500</v>
      </c>
      <c r="E32" s="43">
        <v>5759.3</v>
      </c>
      <c r="F32" s="168">
        <v>5585.75</v>
      </c>
      <c r="G32" s="43">
        <f>#N/A</f>
        <v>-173.55000000000018</v>
      </c>
      <c r="H32" s="35">
        <f>#N/A</f>
        <v>96.98661295643566</v>
      </c>
      <c r="I32" s="50">
        <f>#N/A</f>
        <v>-1914.25</v>
      </c>
      <c r="J32" s="178">
        <f>#N/A</f>
        <v>74.47666666666667</v>
      </c>
      <c r="K32" s="178">
        <f>F32-7378.96</f>
        <v>-1793.21</v>
      </c>
      <c r="L32" s="178">
        <f>F32/7378.96*100</f>
        <v>75.6983368930039</v>
      </c>
      <c r="M32" s="35">
        <f>E32-вересень!E32</f>
        <v>6.900000000000546</v>
      </c>
      <c r="N32" s="35">
        <f>F32-вересень!F32</f>
        <v>6.569999999999709</v>
      </c>
      <c r="O32" s="47">
        <f>#N/A</f>
        <v>-0.33000000000083674</v>
      </c>
      <c r="P32" s="50">
        <f>#N/A</f>
        <v>95.21739130433608</v>
      </c>
      <c r="Q32" s="139"/>
      <c r="R32" s="140"/>
    </row>
    <row r="33" spans="1:18" s="6" customFormat="1" ht="17.2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32550.27</v>
      </c>
      <c r="F33" s="18">
        <f>F34+F35+F36+F37+F38+F41+F42+F47+F48+F52+F40+F39</f>
        <v>35081.67999999999</v>
      </c>
      <c r="G33" s="44">
        <f>#N/A</f>
        <v>2531.4099999999926</v>
      </c>
      <c r="H33" s="45">
        <f>#N/A</f>
        <v>107.77692473825869</v>
      </c>
      <c r="I33" s="31">
        <f>#N/A</f>
        <v>-557.8900000000067</v>
      </c>
      <c r="J33" s="31">
        <f>#N/A</f>
        <v>98.43463319001883</v>
      </c>
      <c r="K33" s="18">
        <f>K34+K35+K36+K37+K38+K41+K42+K47+K48+K52+K40</f>
        <v>24297.510000000002</v>
      </c>
      <c r="L33" s="18"/>
      <c r="M33" s="18">
        <f>M34+M35+M36+M37+M38+M41+M42+M47+M48+M52+M40+M39</f>
        <v>5900.27</v>
      </c>
      <c r="N33" s="18">
        <f>N34+N35+N36+N37+N38+N41+N42+N47+N48+N52+N40+N39</f>
        <v>6837.05</v>
      </c>
      <c r="O33" s="49">
        <f>#N/A</f>
        <v>936.7799999999997</v>
      </c>
      <c r="P33" s="31">
        <f>N33/M33*100</f>
        <v>115.87690054861896</v>
      </c>
      <c r="Q33" s="31">
        <f>N33-1017.63</f>
        <v>5819.42</v>
      </c>
      <c r="R33" s="127">
        <f>N33/1017.63</f>
        <v>6.718601063254818</v>
      </c>
    </row>
    <row r="34" spans="1:18" s="6" customFormat="1" ht="46.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-57.79</v>
      </c>
      <c r="G34" s="43">
        <f>#N/A</f>
        <v>-157.79</v>
      </c>
      <c r="H34" s="35">
        <f>#N/A</f>
        <v>-57.79</v>
      </c>
      <c r="I34" s="50">
        <f>#N/A</f>
        <v>-157.79</v>
      </c>
      <c r="J34" s="50">
        <f>#N/A</f>
        <v>-57.79</v>
      </c>
      <c r="K34" s="50">
        <f>F34-123.45</f>
        <v>-181.24</v>
      </c>
      <c r="L34" s="50">
        <f>F34/123.45*100</f>
        <v>-46.812474686107734</v>
      </c>
      <c r="M34" s="35">
        <f>E34-вересень!E34</f>
        <v>0</v>
      </c>
      <c r="N34" s="35">
        <f>F34-вересень!F34</f>
        <v>2.5700000000000003</v>
      </c>
      <c r="O34" s="47">
        <f>#N/A</f>
        <v>2.5700000000000003</v>
      </c>
      <c r="P34" s="50" t="e">
        <f>N34/M34*100</f>
        <v>#DIV/0!</v>
      </c>
      <c r="Q34" s="50">
        <f>N34-0</f>
        <v>2.5700000000000003</v>
      </c>
      <c r="R34" s="126" t="e">
        <f>N34/0</f>
        <v>#DIV/0!</v>
      </c>
    </row>
    <row r="35" spans="1:18" s="6" customFormat="1" ht="30.75">
      <c r="A35" s="8"/>
      <c r="B35" s="68" t="s">
        <v>214</v>
      </c>
      <c r="C35" s="57">
        <v>21050000</v>
      </c>
      <c r="D35" s="36">
        <f>1000+6932.47</f>
        <v>7932.47</v>
      </c>
      <c r="E35" s="36">
        <v>7632.47</v>
      </c>
      <c r="F35" s="143">
        <v>8434.93</v>
      </c>
      <c r="G35" s="43">
        <f>#N/A</f>
        <v>802.46</v>
      </c>
      <c r="H35" s="35">
        <f>#N/A</f>
        <v>110.51376553068665</v>
      </c>
      <c r="I35" s="50">
        <f>#N/A</f>
        <v>502.46000000000004</v>
      </c>
      <c r="J35" s="50"/>
      <c r="K35" s="50">
        <f>F35-0</f>
        <v>8434.93</v>
      </c>
      <c r="L35" s="50" t="e">
        <f>F35/0*100</f>
        <v>#DIV/0!</v>
      </c>
      <c r="M35" s="35">
        <f>E35-вересень!E35</f>
        <v>3482.4700000000003</v>
      </c>
      <c r="N35" s="35">
        <f>F35-вересень!F35</f>
        <v>4280.92</v>
      </c>
      <c r="O35" s="47">
        <f>#N/A</f>
        <v>798.4499999999998</v>
      </c>
      <c r="P35" s="50"/>
      <c r="Q35" s="50">
        <f>N35-0</f>
        <v>4280.92</v>
      </c>
      <c r="R35" s="126" t="e">
        <f>N35/0</f>
        <v>#DIV/0!</v>
      </c>
    </row>
    <row r="36" spans="1:18" s="6" customFormat="1" ht="1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349.81</v>
      </c>
      <c r="G36" s="43">
        <f>#N/A</f>
        <v>109.81</v>
      </c>
      <c r="H36" s="35">
        <f>#N/A</f>
        <v>145.75416666666666</v>
      </c>
      <c r="I36" s="50">
        <f>#N/A</f>
        <v>109.81</v>
      </c>
      <c r="J36" s="50"/>
      <c r="K36" s="50">
        <f>F36-279.6</f>
        <v>70.20999999999998</v>
      </c>
      <c r="L36" s="50">
        <f>F36/279.6*100</f>
        <v>125.11087267525033</v>
      </c>
      <c r="M36" s="35">
        <f>E36-вересень!E36</f>
        <v>0</v>
      </c>
      <c r="N36" s="35">
        <f>F36-вересень!F36</f>
        <v>27.829999999999984</v>
      </c>
      <c r="O36" s="47">
        <f>#N/A</f>
        <v>27.829999999999984</v>
      </c>
      <c r="P36" s="50"/>
      <c r="Q36" s="50">
        <f>N36-4.23</f>
        <v>23.599999999999984</v>
      </c>
      <c r="R36" s="126">
        <f>N36/4.23</f>
        <v>6.5791962174940855</v>
      </c>
    </row>
    <row r="37" spans="1:18" s="6" customFormat="1" ht="30.75">
      <c r="A37" s="8"/>
      <c r="B37" s="30" t="s">
        <v>123</v>
      </c>
      <c r="C37" s="94">
        <v>21080900</v>
      </c>
      <c r="D37" s="36">
        <v>6.5</v>
      </c>
      <c r="E37" s="36">
        <v>4.5</v>
      </c>
      <c r="F37" s="143">
        <v>0</v>
      </c>
      <c r="G37" s="43">
        <f>#N/A</f>
        <v>-4.5</v>
      </c>
      <c r="H37" s="35">
        <f>#N/A</f>
        <v>0</v>
      </c>
      <c r="I37" s="50">
        <f>#N/A</f>
        <v>-6.5</v>
      </c>
      <c r="J37" s="50">
        <f>#N/A</f>
        <v>0</v>
      </c>
      <c r="K37" s="50">
        <f>F37-5.6</f>
        <v>-5.6</v>
      </c>
      <c r="L37" s="50">
        <f>F37/5.6*100</f>
        <v>0</v>
      </c>
      <c r="M37" s="35">
        <f>E37-вересень!E37</f>
        <v>0.5</v>
      </c>
      <c r="N37" s="35">
        <f>F37-вересень!F37</f>
        <v>0</v>
      </c>
      <c r="O37" s="47">
        <f>#N/A</f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">
      <c r="A38" s="8"/>
      <c r="B38" s="15" t="s">
        <v>90</v>
      </c>
      <c r="C38" s="95">
        <v>21081100</v>
      </c>
      <c r="D38" s="36">
        <v>140</v>
      </c>
      <c r="E38" s="36">
        <v>120</v>
      </c>
      <c r="F38" s="143">
        <v>255.87</v>
      </c>
      <c r="G38" s="43">
        <f>#N/A</f>
        <v>135.87</v>
      </c>
      <c r="H38" s="35">
        <f>#N/A</f>
        <v>213.225</v>
      </c>
      <c r="I38" s="50">
        <f>#N/A</f>
        <v>115.87</v>
      </c>
      <c r="J38" s="50">
        <f>#N/A</f>
        <v>182.7642857142857</v>
      </c>
      <c r="K38" s="50">
        <f>F38-112.45</f>
        <v>143.42000000000002</v>
      </c>
      <c r="L38" s="50">
        <f>F38/112.45*100</f>
        <v>227.54112939084038</v>
      </c>
      <c r="M38" s="35">
        <f>E38-вересень!E38</f>
        <v>15</v>
      </c>
      <c r="N38" s="35">
        <f>F38-вересень!F38</f>
        <v>138.76</v>
      </c>
      <c r="O38" s="47">
        <f>#N/A</f>
        <v>123.75999999999999</v>
      </c>
      <c r="P38" s="50">
        <f>N38/M38*100</f>
        <v>925.0666666666666</v>
      </c>
      <c r="Q38" s="50">
        <f>N38-9.02</f>
        <v>129.73999999999998</v>
      </c>
      <c r="R38" s="126">
        <f>N38/9.02</f>
        <v>15.383592017738358</v>
      </c>
    </row>
    <row r="39" spans="1:18" s="6" customFormat="1" ht="46.5">
      <c r="A39" s="8"/>
      <c r="B39" s="15" t="s">
        <v>225</v>
      </c>
      <c r="C39" s="67">
        <v>21081500</v>
      </c>
      <c r="D39" s="36">
        <v>0</v>
      </c>
      <c r="E39" s="36"/>
      <c r="F39" s="143">
        <v>0</v>
      </c>
      <c r="G39" s="43">
        <f>#N/A</f>
        <v>0</v>
      </c>
      <c r="H39" s="35"/>
      <c r="I39" s="50">
        <f>F39-D39</f>
        <v>0</v>
      </c>
      <c r="J39" s="50"/>
      <c r="K39" s="50">
        <f>F39-0</f>
        <v>0</v>
      </c>
      <c r="L39" s="50"/>
      <c r="M39" s="35">
        <f>E39-вересень!E39</f>
        <v>0</v>
      </c>
      <c r="N39" s="35">
        <f>F39-вересень!F39</f>
        <v>-4</v>
      </c>
      <c r="O39" s="47"/>
      <c r="P39" s="50"/>
      <c r="Q39" s="50"/>
      <c r="R39" s="126"/>
    </row>
    <row r="40" spans="1:18" s="6" customFormat="1" ht="15">
      <c r="A40" s="8"/>
      <c r="B40" s="41" t="s">
        <v>222</v>
      </c>
      <c r="C40" s="95">
        <v>22012500</v>
      </c>
      <c r="D40" s="36">
        <v>9000</v>
      </c>
      <c r="E40" s="36">
        <v>8837</v>
      </c>
      <c r="F40" s="143">
        <v>8383.7</v>
      </c>
      <c r="G40" s="43">
        <f>#N/A</f>
        <v>-453.2999999999993</v>
      </c>
      <c r="H40" s="35">
        <f>#N/A</f>
        <v>94.8704311417902</v>
      </c>
      <c r="I40" s="50">
        <f>#N/A</f>
        <v>-616.2999999999993</v>
      </c>
      <c r="J40" s="50"/>
      <c r="K40" s="50">
        <f>F40-0</f>
        <v>8383.7</v>
      </c>
      <c r="L40" s="50"/>
      <c r="M40" s="35">
        <f>E40-вересень!E40</f>
        <v>900</v>
      </c>
      <c r="N40" s="35">
        <f>F40-вересень!F40</f>
        <v>778.2400000000007</v>
      </c>
      <c r="O40" s="47"/>
      <c r="P40" s="50"/>
      <c r="Q40" s="50"/>
      <c r="R40" s="126"/>
    </row>
    <row r="41" spans="1:18" s="6" customFormat="1" ht="30.75">
      <c r="A41" s="8"/>
      <c r="B41" s="15" t="s">
        <v>78</v>
      </c>
      <c r="C41" s="67">
        <v>22080401</v>
      </c>
      <c r="D41" s="36">
        <v>6900</v>
      </c>
      <c r="E41" s="36">
        <v>5770</v>
      </c>
      <c r="F41" s="143">
        <v>7492.82</v>
      </c>
      <c r="G41" s="43">
        <f>#N/A</f>
        <v>1722.8199999999997</v>
      </c>
      <c r="H41" s="35">
        <f>#N/A</f>
        <v>129.8582322357019</v>
      </c>
      <c r="I41" s="50">
        <f>#N/A</f>
        <v>592.8199999999997</v>
      </c>
      <c r="J41" s="50">
        <f>#N/A</f>
        <v>108.59159420289855</v>
      </c>
      <c r="K41" s="50">
        <f>F41-5937.15</f>
        <v>1555.67</v>
      </c>
      <c r="L41" s="50">
        <f>F41/5937.15*100</f>
        <v>126.20230245151294</v>
      </c>
      <c r="M41" s="35">
        <f>E41-вересень!E41</f>
        <v>550</v>
      </c>
      <c r="N41" s="35">
        <f>F41-вересень!F41</f>
        <v>707.7299999999996</v>
      </c>
      <c r="O41" s="47">
        <f>#N/A</f>
        <v>157.72999999999956</v>
      </c>
      <c r="P41" s="50">
        <f>N41/M41*100</f>
        <v>128.67818181818174</v>
      </c>
      <c r="Q41" s="50">
        <f>N41-647.49</f>
        <v>60.239999999999554</v>
      </c>
      <c r="R41" s="126">
        <f>N41/647.49</f>
        <v>1.09303618588704</v>
      </c>
    </row>
    <row r="42" spans="1:18" s="6" customFormat="1" ht="15">
      <c r="A42" s="8"/>
      <c r="B42" s="15" t="s">
        <v>80</v>
      </c>
      <c r="C42" s="59">
        <v>22090000</v>
      </c>
      <c r="D42" s="36">
        <f>1100+6000</f>
        <v>7100</v>
      </c>
      <c r="E42" s="36">
        <v>6391.3</v>
      </c>
      <c r="F42" s="143">
        <v>6187.55</v>
      </c>
      <c r="G42" s="43">
        <f>#N/A</f>
        <v>-203.75</v>
      </c>
      <c r="H42" s="35">
        <f>#N/A</f>
        <v>96.81207266127392</v>
      </c>
      <c r="I42" s="50">
        <f>#N/A</f>
        <v>-912.4499999999998</v>
      </c>
      <c r="J42" s="50">
        <f>#N/A</f>
        <v>87.14859154929577</v>
      </c>
      <c r="K42" s="50">
        <f>F42-865.17</f>
        <v>5322.38</v>
      </c>
      <c r="L42" s="50">
        <f>F42/865.17*100</f>
        <v>715.1831431972907</v>
      </c>
      <c r="M42" s="35">
        <f>E42-вересень!E42</f>
        <v>592.3000000000002</v>
      </c>
      <c r="N42" s="35">
        <f>F42-вересень!F42</f>
        <v>465.60000000000036</v>
      </c>
      <c r="O42" s="47">
        <f>#N/A</f>
        <v>-126.69999999999982</v>
      </c>
      <c r="P42" s="50">
        <f>N42/M42*100</f>
        <v>78.60881310146888</v>
      </c>
      <c r="Q42" s="50">
        <f>N42-79.51</f>
        <v>386.0900000000004</v>
      </c>
      <c r="R42" s="126">
        <f>N42/79.51</f>
        <v>5.855867186517424</v>
      </c>
    </row>
    <row r="43" spans="1:18" s="6" customFormat="1" ht="15">
      <c r="A43" s="8"/>
      <c r="B43" s="69" t="s">
        <v>271</v>
      </c>
      <c r="C43" s="204">
        <v>22090100</v>
      </c>
      <c r="D43" s="135">
        <v>1100</v>
      </c>
      <c r="E43" s="135">
        <v>910</v>
      </c>
      <c r="F43" s="144">
        <v>883.77</v>
      </c>
      <c r="G43" s="135">
        <f>#N/A</f>
        <v>-26.230000000000018</v>
      </c>
      <c r="H43" s="35">
        <f>#N/A</f>
        <v>97.11758241758241</v>
      </c>
      <c r="I43" s="136">
        <f>#N/A</f>
        <v>-216.23000000000002</v>
      </c>
      <c r="J43" s="136">
        <f>#N/A</f>
        <v>80.34272727272726</v>
      </c>
      <c r="K43" s="136">
        <f>F43-757.36</f>
        <v>126.40999999999997</v>
      </c>
      <c r="L43" s="136">
        <f>F43/757.36*100</f>
        <v>116.69087356079011</v>
      </c>
      <c r="M43" s="137">
        <f>E43-вересень!E43</f>
        <v>70</v>
      </c>
      <c r="N43" s="137">
        <f>F43-вересень!F43</f>
        <v>81.92999999999995</v>
      </c>
      <c r="O43" s="138"/>
      <c r="P43" s="50"/>
      <c r="Q43" s="50"/>
      <c r="R43" s="126"/>
    </row>
    <row r="44" spans="1:18" s="6" customFormat="1" ht="15">
      <c r="A44" s="8"/>
      <c r="B44" s="69" t="s">
        <v>268</v>
      </c>
      <c r="C44" s="204">
        <v>22090200</v>
      </c>
      <c r="D44" s="135">
        <v>80</v>
      </c>
      <c r="E44" s="135">
        <v>70</v>
      </c>
      <c r="F44" s="144">
        <v>44.11</v>
      </c>
      <c r="G44" s="135">
        <f>#N/A</f>
        <v>-25.89</v>
      </c>
      <c r="H44" s="35">
        <f>#N/A</f>
        <v>63.01428571428571</v>
      </c>
      <c r="I44" s="136">
        <f>#N/A</f>
        <v>-35.89</v>
      </c>
      <c r="J44" s="136"/>
      <c r="K44" s="136">
        <f>F44-0</f>
        <v>44.11</v>
      </c>
      <c r="L44" s="136"/>
      <c r="M44" s="137">
        <f>E44-вересень!E44</f>
        <v>10</v>
      </c>
      <c r="N44" s="137">
        <f>F44-вересень!F44</f>
        <v>0.03999999999999915</v>
      </c>
      <c r="O44" s="138"/>
      <c r="P44" s="50"/>
      <c r="Q44" s="50"/>
      <c r="R44" s="126"/>
    </row>
    <row r="45" spans="1:18" s="6" customFormat="1" ht="15">
      <c r="A45" s="8"/>
      <c r="B45" s="69" t="s">
        <v>269</v>
      </c>
      <c r="C45" s="204">
        <v>22090300</v>
      </c>
      <c r="D45" s="135">
        <v>2</v>
      </c>
      <c r="E45" s="135">
        <v>1.3</v>
      </c>
      <c r="F45" s="144">
        <v>0.75</v>
      </c>
      <c r="G45" s="135">
        <f>#N/A</f>
        <v>-0.55</v>
      </c>
      <c r="H45" s="35">
        <f>#N/A</f>
        <v>57.692307692307686</v>
      </c>
      <c r="I45" s="136">
        <f>#N/A</f>
        <v>-1.25</v>
      </c>
      <c r="J45" s="136"/>
      <c r="K45" s="136">
        <f>F45-0</f>
        <v>0.75</v>
      </c>
      <c r="L45" s="136"/>
      <c r="M45" s="137">
        <f>E45-вересень!E45</f>
        <v>0.30000000000000004</v>
      </c>
      <c r="N45" s="137">
        <f>F45-вересень!F45</f>
        <v>0</v>
      </c>
      <c r="O45" s="138"/>
      <c r="P45" s="50"/>
      <c r="Q45" s="50"/>
      <c r="R45" s="126"/>
    </row>
    <row r="46" spans="1:18" s="6" customFormat="1" ht="15">
      <c r="A46" s="8"/>
      <c r="B46" s="69" t="s">
        <v>270</v>
      </c>
      <c r="C46" s="204">
        <v>22090400</v>
      </c>
      <c r="D46" s="135">
        <v>5918</v>
      </c>
      <c r="E46" s="135">
        <v>5410</v>
      </c>
      <c r="F46" s="144">
        <v>5258.92</v>
      </c>
      <c r="G46" s="135">
        <f>#N/A</f>
        <v>-151.07999999999993</v>
      </c>
      <c r="H46" s="35">
        <f>#N/A</f>
        <v>97.20739371534196</v>
      </c>
      <c r="I46" s="136">
        <f>#N/A</f>
        <v>-659.0799999999999</v>
      </c>
      <c r="J46" s="136">
        <f>#N/A</f>
        <v>88.86312943562015</v>
      </c>
      <c r="K46" s="136">
        <f>F46-107.81</f>
        <v>5151.11</v>
      </c>
      <c r="L46" s="136">
        <f>F46/107.81*100</f>
        <v>4877.951952509044</v>
      </c>
      <c r="M46" s="137">
        <f>E46-вересень!E46</f>
        <v>512</v>
      </c>
      <c r="N46" s="137">
        <f>F46-вересень!F46</f>
        <v>383.6300000000001</v>
      </c>
      <c r="O46" s="138"/>
      <c r="P46" s="50"/>
      <c r="Q46" s="50"/>
      <c r="R46" s="126"/>
    </row>
    <row r="47" spans="1:18" s="6" customFormat="1" ht="46.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>#N/A</f>
        <v>3.89</v>
      </c>
      <c r="H47" s="35"/>
      <c r="I47" s="50">
        <f>#N/A</f>
        <v>-3.7099999999999995</v>
      </c>
      <c r="J47" s="50"/>
      <c r="K47" s="50">
        <f>F47-0.53</f>
        <v>3.3600000000000003</v>
      </c>
      <c r="L47" s="50"/>
      <c r="M47" s="35">
        <f>E47-вересень!E47</f>
        <v>0</v>
      </c>
      <c r="N47" s="35">
        <f>F47-вересень!F47</f>
        <v>0</v>
      </c>
      <c r="O47" s="47">
        <f>#N/A</f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3450</v>
      </c>
      <c r="F48" s="143">
        <v>4010.85</v>
      </c>
      <c r="G48" s="43">
        <f>#N/A</f>
        <v>560.8499999999999</v>
      </c>
      <c r="H48" s="35">
        <f>F48/E48*100</f>
        <v>116.25652173913043</v>
      </c>
      <c r="I48" s="50">
        <f>#N/A</f>
        <v>-189.1500000000001</v>
      </c>
      <c r="J48" s="50">
        <f>F48/D48*100</f>
        <v>95.49642857142857</v>
      </c>
      <c r="K48" s="50">
        <f>F48-3446.94</f>
        <v>563.9099999999999</v>
      </c>
      <c r="L48" s="50">
        <f>F48/3446.94*100</f>
        <v>116.35972775853365</v>
      </c>
      <c r="M48" s="35">
        <f>E48-вересень!E48</f>
        <v>360</v>
      </c>
      <c r="N48" s="35">
        <f>F48-вересень!F48</f>
        <v>439.4000000000001</v>
      </c>
      <c r="O48" s="47">
        <f>#N/A</f>
        <v>79.40000000000009</v>
      </c>
      <c r="P48" s="50">
        <f>#N/A</f>
        <v>122.05555555555559</v>
      </c>
      <c r="Q48" s="50">
        <f>N48-277.38</f>
        <v>162.0200000000001</v>
      </c>
      <c r="R48" s="126">
        <f>N48/277.38</f>
        <v>1.5841084432907928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>#N/A</f>
        <v>0</v>
      </c>
      <c r="H49" s="35" t="e">
        <f>F49/E49*100</f>
        <v>#DIV/0!</v>
      </c>
      <c r="I49" s="50">
        <f>#N/A</f>
        <v>0</v>
      </c>
      <c r="J49" s="50" t="e">
        <f>F49/D49*100</f>
        <v>#DIV/0!</v>
      </c>
      <c r="K49" s="50"/>
      <c r="L49" s="50">
        <f>F49</f>
        <v>0</v>
      </c>
      <c r="M49" s="35">
        <f>E49-вересень!E49</f>
        <v>0</v>
      </c>
      <c r="N49" s="35">
        <f>F49-вересень!F49</f>
        <v>0</v>
      </c>
      <c r="O49" s="47">
        <f>#N/A</f>
        <v>0</v>
      </c>
      <c r="P49" s="50" t="e">
        <f>#N/A</f>
        <v>#DIV/0!</v>
      </c>
      <c r="Q49" s="50"/>
      <c r="R49" s="126">
        <f>N49/277.38</f>
        <v>0</v>
      </c>
    </row>
    <row r="50" spans="1:18" s="6" customFormat="1" ht="1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>#N/A</f>
        <v>0</v>
      </c>
      <c r="H50" s="35" t="e">
        <f>F50/E50*100</f>
        <v>#DIV/0!</v>
      </c>
      <c r="I50" s="50">
        <f>#N/A</f>
        <v>0</v>
      </c>
      <c r="J50" s="50" t="e">
        <f>F50/D50*100</f>
        <v>#DIV/0!</v>
      </c>
      <c r="K50" s="50"/>
      <c r="L50" s="50">
        <f>F50</f>
        <v>0</v>
      </c>
      <c r="M50" s="35">
        <f>E50-вересень!E50</f>
        <v>0</v>
      </c>
      <c r="N50" s="35">
        <f>F50-вересень!F50</f>
        <v>0</v>
      </c>
      <c r="O50" s="47">
        <f>#N/A</f>
        <v>0</v>
      </c>
      <c r="P50" s="50" t="e">
        <f>#N/A</f>
        <v>#DIV/0!</v>
      </c>
      <c r="Q50" s="50"/>
      <c r="R50" s="126">
        <f>N50/277.38</f>
        <v>0</v>
      </c>
    </row>
    <row r="51" spans="1:18" s="6" customFormat="1" ht="30.75">
      <c r="A51" s="8"/>
      <c r="B51" s="69" t="s">
        <v>127</v>
      </c>
      <c r="C51" s="83"/>
      <c r="D51" s="135"/>
      <c r="E51" s="135"/>
      <c r="F51" s="144">
        <v>1044.3</v>
      </c>
      <c r="G51" s="135">
        <f>#N/A</f>
        <v>1044.3</v>
      </c>
      <c r="H51" s="137"/>
      <c r="I51" s="136">
        <f>#N/A</f>
        <v>1044.3</v>
      </c>
      <c r="J51" s="136"/>
      <c r="K51" s="138">
        <f>F51-838.39</f>
        <v>205.90999999999997</v>
      </c>
      <c r="L51" s="138">
        <f>F51/838.39*100</f>
        <v>124.56016889514426</v>
      </c>
      <c r="M51" s="35">
        <f>E51-вересень!E51</f>
        <v>0</v>
      </c>
      <c r="N51" s="35">
        <f>F51-вересень!F51</f>
        <v>65.09999999999991</v>
      </c>
      <c r="O51" s="138">
        <f>#N/A</f>
        <v>65.09999999999991</v>
      </c>
      <c r="P51" s="136"/>
      <c r="Q51" s="50">
        <f>N51-64.93</f>
        <v>0.16999999999990223</v>
      </c>
      <c r="R51" s="126">
        <f>N51/64.93</f>
        <v>1.0026182042199276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>
        <f>F52/E52*100</f>
        <v>401</v>
      </c>
      <c r="I52" s="50">
        <f>#N/A</f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E52-вересень!E52</f>
        <v>0</v>
      </c>
      <c r="N52" s="35">
        <f>F52-вересень!F52</f>
        <v>0</v>
      </c>
      <c r="O52" s="47">
        <f>#N/A</f>
        <v>0</v>
      </c>
      <c r="P52" s="50"/>
      <c r="Q52" s="50"/>
      <c r="R52" s="126"/>
    </row>
    <row r="53" spans="1:18" s="6" customFormat="1" ht="30.75">
      <c r="A53" s="8"/>
      <c r="B53" s="14" t="s">
        <v>129</v>
      </c>
      <c r="C53" s="59">
        <v>31010200</v>
      </c>
      <c r="D53" s="36">
        <v>26.5</v>
      </c>
      <c r="E53" s="36">
        <v>21.6</v>
      </c>
      <c r="F53" s="143">
        <v>20.92</v>
      </c>
      <c r="G53" s="43">
        <f>#N/A</f>
        <v>-0.6799999999999997</v>
      </c>
      <c r="H53" s="35">
        <f>F53/E53*100</f>
        <v>96.85185185185186</v>
      </c>
      <c r="I53" s="50">
        <f>#N/A</f>
        <v>-5.579999999999998</v>
      </c>
      <c r="J53" s="50">
        <f>F53/D53*100</f>
        <v>78.9433962264151</v>
      </c>
      <c r="K53" s="50">
        <f>F53-21.71</f>
        <v>-0.7899999999999991</v>
      </c>
      <c r="L53" s="50">
        <f>F53/21.71*100</f>
        <v>96.36112390603408</v>
      </c>
      <c r="M53" s="35">
        <f>E53-вересень!E53</f>
        <v>2.200000000000003</v>
      </c>
      <c r="N53" s="35">
        <f>F53-вересень!F53</f>
        <v>6.500000000000002</v>
      </c>
      <c r="O53" s="47">
        <f>#N/A</f>
        <v>4.299999999999999</v>
      </c>
      <c r="P53" s="50">
        <f>#N/A</f>
        <v>295.45454545454515</v>
      </c>
      <c r="Q53" s="50"/>
      <c r="R53" s="126"/>
    </row>
    <row r="54" spans="1:18" s="6" customFormat="1" ht="30.7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>#N/A</f>
        <v>0.31</v>
      </c>
      <c r="H54" s="35"/>
      <c r="I54" s="50">
        <f>#N/A</f>
        <v>0.31</v>
      </c>
      <c r="J54" s="50"/>
      <c r="K54" s="50">
        <f>F54-0.37</f>
        <v>-0.06</v>
      </c>
      <c r="L54" s="50"/>
      <c r="M54" s="35">
        <f>E54-вересень!E54</f>
        <v>0</v>
      </c>
      <c r="N54" s="35">
        <f>F54-вересень!F54</f>
        <v>0</v>
      </c>
      <c r="O54" s="47">
        <f>#N/A</f>
        <v>0</v>
      </c>
      <c r="P54" s="50"/>
      <c r="Q54" s="50"/>
      <c r="R54" s="126"/>
    </row>
    <row r="55" spans="1:22" s="6" customFormat="1" ht="17.25">
      <c r="A55" s="9"/>
      <c r="B55" s="17" t="s">
        <v>109</v>
      </c>
      <c r="C55" s="84"/>
      <c r="D55" s="18">
        <f>D8+D33+D53+D54</f>
        <v>607955.07</v>
      </c>
      <c r="E55" s="18">
        <f>E8+E33+E53+E54</f>
        <v>536097.34</v>
      </c>
      <c r="F55" s="18">
        <f>F8+F33+F53+F54</f>
        <v>577689.14</v>
      </c>
      <c r="G55" s="44">
        <f>F55-E55</f>
        <v>41591.80000000005</v>
      </c>
      <c r="H55" s="45">
        <f>F55/E55*100</f>
        <v>107.75825524521349</v>
      </c>
      <c r="I55" s="31">
        <f>F55-D55</f>
        <v>-30265.929999999935</v>
      </c>
      <c r="J55" s="31">
        <f>F55/D55*100</f>
        <v>95.02168309904876</v>
      </c>
      <c r="K55" s="31">
        <f>K8+K33+K53+K54</f>
        <v>165658.048</v>
      </c>
      <c r="L55" s="31">
        <f>F55/(F55-K55)*100</f>
        <v>140.20522994900588</v>
      </c>
      <c r="M55" s="18">
        <f>M8+M33+M53+M54</f>
        <v>50675.44</v>
      </c>
      <c r="N55" s="18">
        <f>N8+N33+N53+N54</f>
        <v>68550.53000000001</v>
      </c>
      <c r="O55" s="49">
        <f>N55-M55</f>
        <v>17875.09000000001</v>
      </c>
      <c r="P55" s="31">
        <f>N55/M55*100</f>
        <v>135.27367497943777</v>
      </c>
      <c r="Q55" s="31">
        <f>N55-34768</f>
        <v>33782.53000000001</v>
      </c>
      <c r="R55" s="171">
        <f>N55/34768</f>
        <v>1.9716558329498393</v>
      </c>
      <c r="S55" s="172"/>
      <c r="T55" s="166"/>
      <c r="U55" s="175"/>
      <c r="V55" s="175"/>
    </row>
    <row r="56" spans="1:18" s="66" customFormat="1" ht="17.2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7.2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7.2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F60-вересень!F60</f>
        <v>0</v>
      </c>
      <c r="O60" s="47"/>
      <c r="P60" s="53"/>
      <c r="Q60" s="53"/>
      <c r="R60" s="129"/>
    </row>
    <row r="61" spans="2:18" ht="30.75">
      <c r="B61" s="26" t="s">
        <v>170</v>
      </c>
      <c r="C61" s="97">
        <v>18041500</v>
      </c>
      <c r="D61" s="28">
        <v>0</v>
      </c>
      <c r="E61" s="28">
        <v>0</v>
      </c>
      <c r="F61" s="146">
        <v>-54.75</v>
      </c>
      <c r="G61" s="43">
        <f>#N/A</f>
        <v>-54.75</v>
      </c>
      <c r="H61" s="35"/>
      <c r="I61" s="53">
        <f>#N/A</f>
        <v>-54.75</v>
      </c>
      <c r="J61" s="53"/>
      <c r="K61" s="47">
        <f>F61-263.25</f>
        <v>-318</v>
      </c>
      <c r="L61" s="53"/>
      <c r="M61" s="35">
        <v>0</v>
      </c>
      <c r="N61" s="36">
        <f>F61-вересень!F61</f>
        <v>-3.049999999999997</v>
      </c>
      <c r="O61" s="47">
        <f>#N/A</f>
        <v>-3.049999999999997</v>
      </c>
      <c r="P61" s="53"/>
      <c r="Q61" s="53">
        <f>N61-24.53</f>
        <v>-27.58</v>
      </c>
      <c r="R61" s="129">
        <f>N61/24.53</f>
        <v>-0.12433754586220942</v>
      </c>
    </row>
    <row r="62" spans="2:18" ht="1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-54.75</v>
      </c>
      <c r="G62" s="55">
        <f>#N/A</f>
        <v>-54.75</v>
      </c>
      <c r="H62" s="65"/>
      <c r="I62" s="54">
        <f>#N/A</f>
        <v>-54.75</v>
      </c>
      <c r="J62" s="54"/>
      <c r="K62" s="54">
        <f>K60+K61</f>
        <v>-318</v>
      </c>
      <c r="L62" s="54"/>
      <c r="M62" s="55">
        <f>M61</f>
        <v>0</v>
      </c>
      <c r="N62" s="33">
        <f>SUM(N60:N61)</f>
        <v>-3.049999999999997</v>
      </c>
      <c r="O62" s="54">
        <f>#N/A</f>
        <v>-3.049999999999997</v>
      </c>
      <c r="P62" s="54"/>
      <c r="Q62" s="54">
        <f>N62-92.85</f>
        <v>-95.89999999999999</v>
      </c>
      <c r="R62" s="130">
        <f>N62/92.85</f>
        <v>-0.03284868066774364</v>
      </c>
    </row>
    <row r="63" spans="2:18" ht="46.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>#N/A</f>
        <v>0</v>
      </c>
      <c r="H63" s="35" t="e">
        <f>F63/E63*100</f>
        <v>#DIV/0!</v>
      </c>
      <c r="I63" s="53">
        <f>#N/A</f>
        <v>0</v>
      </c>
      <c r="J63" s="53" t="e">
        <f>#N/A</f>
        <v>#DIV/0!</v>
      </c>
      <c r="K63" s="53"/>
      <c r="L63" s="53"/>
      <c r="M63" s="36">
        <v>0</v>
      </c>
      <c r="N63" s="36">
        <f>F63</f>
        <v>0</v>
      </c>
      <c r="O63" s="47">
        <f>#N/A</f>
        <v>0</v>
      </c>
      <c r="P63" s="53"/>
      <c r="Q63" s="53"/>
      <c r="R63" s="129"/>
    </row>
    <row r="64" spans="2:18" ht="30.75">
      <c r="B64" s="26" t="s">
        <v>111</v>
      </c>
      <c r="C64" s="97">
        <v>31030000</v>
      </c>
      <c r="D64" s="28">
        <v>2500</v>
      </c>
      <c r="E64" s="28">
        <v>1600</v>
      </c>
      <c r="F64" s="146">
        <v>593.13</v>
      </c>
      <c r="G64" s="43">
        <f>#N/A</f>
        <v>-1006.87</v>
      </c>
      <c r="H64" s="35"/>
      <c r="I64" s="53">
        <f>#N/A</f>
        <v>-1906.87</v>
      </c>
      <c r="J64" s="53">
        <f>#N/A</f>
        <v>23.725199999999997</v>
      </c>
      <c r="K64" s="53">
        <f>F64-1754.79</f>
        <v>-1161.6599999999999</v>
      </c>
      <c r="L64" s="53">
        <f>F64/1754.79*100</f>
        <v>33.80062571589763</v>
      </c>
      <c r="M64" s="35">
        <f>E64-вересень!E64</f>
        <v>0</v>
      </c>
      <c r="N64" s="35">
        <f>F64-вересень!F64</f>
        <v>0.029999999999972715</v>
      </c>
      <c r="O64" s="47">
        <f>#N/A</f>
        <v>0.029999999999972715</v>
      </c>
      <c r="P64" s="53"/>
      <c r="Q64" s="53">
        <f>N64-0.04</f>
        <v>-0.010000000000027286</v>
      </c>
      <c r="R64" s="129">
        <f>N64/0.04</f>
        <v>0.7499999999993179</v>
      </c>
    </row>
    <row r="65" spans="2:18" ht="15">
      <c r="B65" s="26" t="s">
        <v>112</v>
      </c>
      <c r="C65" s="97">
        <v>33010000</v>
      </c>
      <c r="D65" s="28">
        <v>11576</v>
      </c>
      <c r="E65" s="28">
        <v>6735.98</v>
      </c>
      <c r="F65" s="146">
        <v>7212.08</v>
      </c>
      <c r="G65" s="43">
        <f>#N/A</f>
        <v>476.10000000000036</v>
      </c>
      <c r="H65" s="35">
        <f>F65/E65*100</f>
        <v>107.06801385989864</v>
      </c>
      <c r="I65" s="53">
        <f>#N/A</f>
        <v>-4363.92</v>
      </c>
      <c r="J65" s="53">
        <f>#N/A</f>
        <v>62.302004146510015</v>
      </c>
      <c r="K65" s="53">
        <f>F65-2762.1</f>
        <v>4449.98</v>
      </c>
      <c r="L65" s="53">
        <f>F65/2762.1*100</f>
        <v>261.10857680750155</v>
      </c>
      <c r="M65" s="35">
        <f>E65-вересень!E65</f>
        <v>1273.8199999999997</v>
      </c>
      <c r="N65" s="35">
        <f>F65-вересень!F65</f>
        <v>3224.45</v>
      </c>
      <c r="O65" s="47">
        <f>#N/A</f>
        <v>1950.63</v>
      </c>
      <c r="P65" s="53">
        <f>N65/M65*100</f>
        <v>253.1323106875383</v>
      </c>
      <c r="Q65" s="53">
        <f>N65-450.01</f>
        <v>2774.4399999999996</v>
      </c>
      <c r="R65" s="129">
        <f>N65/450.01</f>
        <v>7.165285215884091</v>
      </c>
    </row>
    <row r="66" spans="2:18" ht="30.75">
      <c r="B66" s="26" t="s">
        <v>156</v>
      </c>
      <c r="C66" s="97">
        <v>24170000</v>
      </c>
      <c r="D66" s="28">
        <v>3000</v>
      </c>
      <c r="E66" s="28">
        <v>1332.9</v>
      </c>
      <c r="F66" s="146">
        <v>2063.43</v>
      </c>
      <c r="G66" s="43">
        <f>#N/A</f>
        <v>730.5299999999997</v>
      </c>
      <c r="H66" s="35">
        <f>F66/E66*100</f>
        <v>154.80756245779875</v>
      </c>
      <c r="I66" s="53">
        <f>#N/A</f>
        <v>-936.5700000000002</v>
      </c>
      <c r="J66" s="53">
        <f>#N/A</f>
        <v>68.78099999999999</v>
      </c>
      <c r="K66" s="53">
        <f>F66-1134.02</f>
        <v>929.4099999999999</v>
      </c>
      <c r="L66" s="53">
        <f>F66/1134.02*100</f>
        <v>181.9571083402409</v>
      </c>
      <c r="M66" s="35">
        <f>E66-вересень!E66</f>
        <v>148.10000000000014</v>
      </c>
      <c r="N66" s="35">
        <f>F66-вересень!F66</f>
        <v>204.3499999999999</v>
      </c>
      <c r="O66" s="47">
        <f>#N/A</f>
        <v>56.24999999999977</v>
      </c>
      <c r="P66" s="53">
        <f>N66/M66*100</f>
        <v>137.98109385550285</v>
      </c>
      <c r="Q66" s="53">
        <f>N66-1.05</f>
        <v>203.2999999999999</v>
      </c>
      <c r="R66" s="129">
        <f>N66/1.05</f>
        <v>194.61904761904754</v>
      </c>
    </row>
    <row r="67" spans="2:19" ht="33">
      <c r="B67" s="32" t="s">
        <v>144</v>
      </c>
      <c r="C67" s="87"/>
      <c r="D67" s="33">
        <f>D64+D65+D66</f>
        <v>17076</v>
      </c>
      <c r="E67" s="33">
        <f>E64+E65+E66</f>
        <v>9668.88</v>
      </c>
      <c r="F67" s="145">
        <f>F64+F65+F66</f>
        <v>9868.64</v>
      </c>
      <c r="G67" s="55">
        <f>#N/A</f>
        <v>199.76000000000022</v>
      </c>
      <c r="H67" s="65">
        <f>F67/E67*100</f>
        <v>102.06600971363797</v>
      </c>
      <c r="I67" s="54">
        <f>#N/A</f>
        <v>-7207.360000000001</v>
      </c>
      <c r="J67" s="54">
        <f>#N/A</f>
        <v>57.79245724994143</v>
      </c>
      <c r="K67" s="54">
        <f>K64+K65+K66</f>
        <v>4217.73</v>
      </c>
      <c r="L67" s="54"/>
      <c r="M67" s="55">
        <f>M64+M65+M66</f>
        <v>1421.9199999999998</v>
      </c>
      <c r="N67" s="55">
        <f>N64+N65+N66</f>
        <v>3428.8299999999995</v>
      </c>
      <c r="O67" s="54">
        <f>#N/A</f>
        <v>2006.9099999999996</v>
      </c>
      <c r="P67" s="54">
        <f>N67/M67*100</f>
        <v>241.14085180600875</v>
      </c>
      <c r="Q67" s="54">
        <f>N67-7985.28</f>
        <v>-4556.450000000001</v>
      </c>
      <c r="R67" s="173">
        <f>N67/7985.28</f>
        <v>0.4293938346557666</v>
      </c>
      <c r="S67" s="174"/>
    </row>
    <row r="68" spans="2:18" ht="46.5">
      <c r="B68" s="14" t="s">
        <v>124</v>
      </c>
      <c r="C68" s="100">
        <v>24062100</v>
      </c>
      <c r="D68" s="28">
        <v>35</v>
      </c>
      <c r="E68" s="28">
        <v>35</v>
      </c>
      <c r="F68" s="146">
        <v>0.35</v>
      </c>
      <c r="G68" s="43">
        <f>#N/A</f>
        <v>-34.65</v>
      </c>
      <c r="H68" s="35">
        <f>F68/E68*100</f>
        <v>1</v>
      </c>
      <c r="I68" s="53">
        <f>#N/A</f>
        <v>-34.65</v>
      </c>
      <c r="J68" s="53">
        <f>#N/A</f>
        <v>1</v>
      </c>
      <c r="K68" s="53">
        <f>F68-35.01</f>
        <v>-34.66</v>
      </c>
      <c r="L68" s="53">
        <f>F68/35.01*100</f>
        <v>0.9997143673236218</v>
      </c>
      <c r="M68" s="35">
        <f>E68-вересень!E68</f>
        <v>10</v>
      </c>
      <c r="N68" s="35">
        <f>F68-вересень!F68</f>
        <v>0</v>
      </c>
      <c r="O68" s="47">
        <f>#N/A</f>
        <v>-10</v>
      </c>
      <c r="P68" s="53"/>
      <c r="Q68" s="53">
        <f>N68-0.16</f>
        <v>-0.16</v>
      </c>
      <c r="R68" s="129">
        <f>N68/0.16</f>
        <v>0</v>
      </c>
    </row>
    <row r="69" spans="2:18" ht="15">
      <c r="B69" s="26" t="s">
        <v>146</v>
      </c>
      <c r="C69" s="97">
        <v>24061600</v>
      </c>
      <c r="D69" s="28">
        <v>19</v>
      </c>
      <c r="E69" s="28">
        <v>14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E69-вересень!E69</f>
        <v>2</v>
      </c>
      <c r="N69" s="35">
        <f>F69-вересень!F69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0.75">
      <c r="B70" s="26" t="s">
        <v>140</v>
      </c>
      <c r="C70" s="97">
        <v>19050000</v>
      </c>
      <c r="D70" s="28">
        <v>0</v>
      </c>
      <c r="E70" s="28">
        <v>0</v>
      </c>
      <c r="F70" s="146">
        <v>1.14</v>
      </c>
      <c r="G70" s="43">
        <f>F70-E70</f>
        <v>1.14</v>
      </c>
      <c r="H70" s="35"/>
      <c r="I70" s="53">
        <f>F70-D70</f>
        <v>1.14</v>
      </c>
      <c r="J70" s="53"/>
      <c r="K70" s="53">
        <f>F70-1.29</f>
        <v>-0.15000000000000013</v>
      </c>
      <c r="L70" s="53">
        <f>F70/1.29*100</f>
        <v>88.3720930232558</v>
      </c>
      <c r="M70" s="35">
        <f>E70-вересень!E70</f>
        <v>0</v>
      </c>
      <c r="N70" s="35">
        <f>F70-вересень!F70</f>
        <v>0.1399999999999999</v>
      </c>
      <c r="O70" s="47">
        <f>N70-M70</f>
        <v>0.1399999999999999</v>
      </c>
      <c r="P70" s="53"/>
      <c r="Q70" s="53">
        <f>N70-(-0.21)</f>
        <v>0.34999999999999987</v>
      </c>
      <c r="R70" s="129"/>
    </row>
    <row r="71" spans="2:18" ht="30">
      <c r="B71" s="32" t="s">
        <v>134</v>
      </c>
      <c r="C71" s="97"/>
      <c r="D71" s="33">
        <f>D68+D70+D69</f>
        <v>54</v>
      </c>
      <c r="E71" s="33">
        <f>E68+E70+E69</f>
        <v>49</v>
      </c>
      <c r="F71" s="145">
        <f>F68+F70+F69</f>
        <v>1.4899999999999998</v>
      </c>
      <c r="G71" s="55">
        <f>F71-E71</f>
        <v>-47.51</v>
      </c>
      <c r="H71" s="65">
        <f>F71/E71*100</f>
        <v>3.040816326530612</v>
      </c>
      <c r="I71" s="54">
        <f>F71-D71</f>
        <v>-52.51</v>
      </c>
      <c r="J71" s="54">
        <f>F71/D71*100</f>
        <v>2.759259259259259</v>
      </c>
      <c r="K71" s="54">
        <f>K68+K69+K70</f>
        <v>-54.29</v>
      </c>
      <c r="L71" s="54"/>
      <c r="M71" s="55">
        <f>M68+M70+M69</f>
        <v>12</v>
      </c>
      <c r="N71" s="55">
        <f>N68+N70+N69</f>
        <v>0.1399999999999999</v>
      </c>
      <c r="O71" s="54">
        <f>N71-M71</f>
        <v>-11.86</v>
      </c>
      <c r="P71" s="54"/>
      <c r="Q71" s="54">
        <f>N71-26.38</f>
        <v>-26.24</v>
      </c>
      <c r="R71" s="128">
        <f>N71/26.38</f>
        <v>0.005307050796057616</v>
      </c>
    </row>
    <row r="72" spans="2:18" ht="30.75">
      <c r="B72" s="14" t="s">
        <v>125</v>
      </c>
      <c r="C72" s="59">
        <v>24110900</v>
      </c>
      <c r="D72" s="28">
        <v>42</v>
      </c>
      <c r="E72" s="28">
        <v>33.42</v>
      </c>
      <c r="F72" s="146">
        <v>30.02</v>
      </c>
      <c r="G72" s="43">
        <f>F72-E72</f>
        <v>-3.400000000000002</v>
      </c>
      <c r="H72" s="35">
        <f>F72/E72*100</f>
        <v>89.82645122681029</v>
      </c>
      <c r="I72" s="53">
        <f>F72-D72</f>
        <v>-11.98</v>
      </c>
      <c r="J72" s="53">
        <f>F72/D72*100</f>
        <v>71.47619047619047</v>
      </c>
      <c r="K72" s="53">
        <f>F72-33.03</f>
        <v>-3.0100000000000016</v>
      </c>
      <c r="L72" s="53">
        <f>F72/33.03*100</f>
        <v>90.88707235846199</v>
      </c>
      <c r="M72" s="35">
        <f>E72-вересень!E72</f>
        <v>1.2000000000000028</v>
      </c>
      <c r="N72" s="35">
        <f>F72-вересень!F72</f>
        <v>0.8000000000000007</v>
      </c>
      <c r="O72" s="47">
        <f>N72-M72</f>
        <v>-0.40000000000000213</v>
      </c>
      <c r="P72" s="53">
        <f>N72/M72*100</f>
        <v>66.66666666666656</v>
      </c>
      <c r="Q72" s="53">
        <f>N72-0.45</f>
        <v>0.3500000000000007</v>
      </c>
      <c r="R72" s="129">
        <f>N72/0.45</f>
        <v>1.7777777777777792</v>
      </c>
    </row>
    <row r="73" spans="2:18" ht="1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9751.3</v>
      </c>
      <c r="F74" s="27">
        <f>F62+F72+F67+F71+F73</f>
        <v>9845.6</v>
      </c>
      <c r="G74" s="44">
        <f>F74-E74</f>
        <v>94.30000000000109</v>
      </c>
      <c r="H74" s="45">
        <f>F74/E74*100</f>
        <v>100.96705054710655</v>
      </c>
      <c r="I74" s="31">
        <f>F74-D74</f>
        <v>-7326.4</v>
      </c>
      <c r="J74" s="31">
        <f>F74/D74*100</f>
        <v>57.33519683205218</v>
      </c>
      <c r="K74" s="31">
        <f>K62+K67+K71+K72</f>
        <v>3842.4299999999994</v>
      </c>
      <c r="L74" s="31"/>
      <c r="M74" s="27">
        <f>M62+M72+M67+M71</f>
        <v>1435.12</v>
      </c>
      <c r="N74" s="27">
        <f>N62+N72+N67+N71+N73</f>
        <v>3426.7199999999993</v>
      </c>
      <c r="O74" s="31">
        <f>N74-M74</f>
        <v>1991.5999999999995</v>
      </c>
      <c r="P74" s="31">
        <f>N74/M74*100</f>
        <v>238.7758514967389</v>
      </c>
      <c r="Q74" s="31">
        <f>N74-8104.96</f>
        <v>-4678.240000000001</v>
      </c>
      <c r="R74" s="127">
        <f>N74/8104.96</f>
        <v>0.4227929564118761</v>
      </c>
    </row>
    <row r="75" spans="2:18" ht="17.25">
      <c r="B75" s="24" t="s">
        <v>115</v>
      </c>
      <c r="C75" s="88"/>
      <c r="D75" s="27">
        <f>D55+D74</f>
        <v>625127.07</v>
      </c>
      <c r="E75" s="27">
        <f>E55+E74</f>
        <v>545848.64</v>
      </c>
      <c r="F75" s="27">
        <f>F55+F74</f>
        <v>587534.74</v>
      </c>
      <c r="G75" s="44">
        <f>F75-E75</f>
        <v>41686.09999999998</v>
      </c>
      <c r="H75" s="45">
        <f>F75/E75*100</f>
        <v>107.63693393098863</v>
      </c>
      <c r="I75" s="31">
        <f>F75-D75</f>
        <v>-37592.32999999996</v>
      </c>
      <c r="J75" s="31">
        <f>F75/D75*100</f>
        <v>93.9864498269128</v>
      </c>
      <c r="K75" s="31">
        <f>K55+K74</f>
        <v>169500.478</v>
      </c>
      <c r="L75" s="31">
        <f>F75/(F75-K75)*100</f>
        <v>140.54703009008387</v>
      </c>
      <c r="M75" s="18">
        <f>M55+M74</f>
        <v>52110.560000000005</v>
      </c>
      <c r="N75" s="18">
        <f>N55+N74</f>
        <v>71977.25000000001</v>
      </c>
      <c r="O75" s="31">
        <f>N75-M75</f>
        <v>19866.69000000001</v>
      </c>
      <c r="P75" s="31">
        <f>N75/M75*100</f>
        <v>138.12411534245652</v>
      </c>
      <c r="Q75" s="31">
        <f>N75-42872.96</f>
        <v>29104.290000000015</v>
      </c>
      <c r="R75" s="127">
        <f>N75/42872.96</f>
        <v>1.6788495592559975</v>
      </c>
    </row>
    <row r="76" spans="2:14" ht="15">
      <c r="B76" s="23" t="s">
        <v>117</v>
      </c>
      <c r="N76" s="29"/>
    </row>
    <row r="77" spans="2:4" ht="15">
      <c r="B77" s="4" t="s">
        <v>119</v>
      </c>
      <c r="C77" s="101">
        <v>0</v>
      </c>
      <c r="D77" s="4" t="s">
        <v>118</v>
      </c>
    </row>
    <row r="78" spans="2:17" ht="30.75">
      <c r="B78" s="71" t="s">
        <v>154</v>
      </c>
      <c r="C78" s="34">
        <f>IF(O55&lt;0,ABS(O55/C77),0)</f>
        <v>0</v>
      </c>
      <c r="D78" s="4" t="s">
        <v>104</v>
      </c>
      <c r="G78" s="266"/>
      <c r="H78" s="266"/>
      <c r="I78" s="266"/>
      <c r="J78" s="266"/>
      <c r="K78" s="115"/>
      <c r="L78" s="115"/>
      <c r="P78" s="29"/>
      <c r="Q78" s="29"/>
    </row>
    <row r="79" spans="2:15" ht="34.5" customHeight="1">
      <c r="B79" s="72" t="s">
        <v>159</v>
      </c>
      <c r="C79" s="111">
        <v>42307</v>
      </c>
      <c r="D79" s="34">
        <v>6147.1</v>
      </c>
      <c r="G79" s="4" t="s">
        <v>166</v>
      </c>
      <c r="N79" s="263"/>
      <c r="O79" s="263"/>
    </row>
    <row r="80" spans="3:15" ht="15">
      <c r="C80" s="111">
        <v>42306</v>
      </c>
      <c r="D80" s="34">
        <v>6844.5</v>
      </c>
      <c r="F80" s="155" t="s">
        <v>166</v>
      </c>
      <c r="G80" s="261"/>
      <c r="H80" s="261"/>
      <c r="I80" s="177"/>
      <c r="J80" s="265"/>
      <c r="K80" s="265"/>
      <c r="L80" s="265"/>
      <c r="M80" s="265"/>
      <c r="N80" s="263"/>
      <c r="O80" s="263"/>
    </row>
    <row r="81" spans="3:15" ht="15.75" customHeight="1">
      <c r="C81" s="111">
        <v>42305</v>
      </c>
      <c r="D81" s="34">
        <v>4690.4</v>
      </c>
      <c r="F81" s="90"/>
      <c r="G81" s="261"/>
      <c r="H81" s="261"/>
      <c r="I81" s="177"/>
      <c r="J81" s="262"/>
      <c r="K81" s="262"/>
      <c r="L81" s="262"/>
      <c r="M81" s="262"/>
      <c r="N81" s="263"/>
      <c r="O81" s="263"/>
    </row>
    <row r="82" spans="3:13" ht="15.75" customHeight="1">
      <c r="C82" s="111"/>
      <c r="F82" s="90"/>
      <c r="G82" s="264"/>
      <c r="H82" s="264"/>
      <c r="I82" s="221"/>
      <c r="J82" s="265"/>
      <c r="K82" s="265"/>
      <c r="L82" s="265"/>
      <c r="M82" s="265"/>
    </row>
    <row r="83" spans="2:13" ht="18.75" customHeight="1">
      <c r="B83" s="270" t="s">
        <v>160</v>
      </c>
      <c r="C83" s="271"/>
      <c r="D83" s="108">
        <v>257.30632</v>
      </c>
      <c r="E83" s="220"/>
      <c r="F83" s="222"/>
      <c r="G83" s="261"/>
      <c r="H83" s="261"/>
      <c r="I83" s="223"/>
      <c r="J83" s="265"/>
      <c r="K83" s="265"/>
      <c r="L83" s="265"/>
      <c r="M83" s="265"/>
    </row>
    <row r="84" spans="6:12" ht="9.75" customHeight="1">
      <c r="F84" s="90"/>
      <c r="G84" s="261"/>
      <c r="H84" s="261"/>
      <c r="I84" s="90"/>
      <c r="J84" s="91"/>
      <c r="K84" s="91"/>
      <c r="L84" s="91"/>
    </row>
    <row r="85" spans="2:12" ht="22.5" customHeight="1" hidden="1">
      <c r="B85" s="267" t="s">
        <v>167</v>
      </c>
      <c r="C85" s="268"/>
      <c r="D85" s="110">
        <v>0</v>
      </c>
      <c r="E85" s="70" t="s">
        <v>104</v>
      </c>
      <c r="F85" s="90"/>
      <c r="G85" s="261"/>
      <c r="H85" s="261"/>
      <c r="I85" s="90"/>
      <c r="J85" s="91"/>
      <c r="K85" s="91"/>
      <c r="L85" s="91"/>
    </row>
    <row r="86" spans="4:15" ht="15">
      <c r="D86" s="105"/>
      <c r="F86" s="90"/>
      <c r="G86" s="91"/>
      <c r="H86" s="91"/>
      <c r="I86" s="91"/>
      <c r="N86" s="261"/>
      <c r="O86" s="261"/>
    </row>
    <row r="87" spans="4:15" ht="15">
      <c r="D87" s="104"/>
      <c r="I87" s="34"/>
      <c r="N87" s="269"/>
      <c r="O87" s="269"/>
    </row>
    <row r="88" spans="14:15" ht="15">
      <c r="N88" s="261"/>
      <c r="O88" s="261"/>
    </row>
    <row r="92" ht="15">
      <c r="E92" s="4" t="s">
        <v>166</v>
      </c>
    </row>
  </sheetData>
  <sheetProtection/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F3:J3"/>
    <mergeCell ref="M3:M5"/>
    <mergeCell ref="N3:R3"/>
    <mergeCell ref="E4:E5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</mergeCells>
  <printOptions/>
  <pageMargins left="0.3" right="0.23" top="0.36" bottom="0.39" header="0.24" footer="0.29"/>
  <pageSetup fitToHeight="1" fitToWidth="1"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zoomScalePageLayoutView="0" workbookViewId="0" topLeftCell="A1">
      <pane xSplit="3" ySplit="8" topLeftCell="D2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26" sqref="B26"/>
    </sheetView>
  </sheetViews>
  <sheetFormatPr defaultColWidth="9.1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50390625" style="4" customWidth="1"/>
    <col min="9" max="9" width="12.75390625" style="4" customWidth="1"/>
    <col min="10" max="10" width="9.50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7" t="s">
        <v>305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117"/>
      <c r="R1" s="118"/>
    </row>
    <row r="2" spans="2:18" s="1" customFormat="1" ht="15.75" customHeight="1">
      <c r="B2" s="248"/>
      <c r="C2" s="248"/>
      <c r="D2" s="24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49"/>
      <c r="B3" s="276"/>
      <c r="C3" s="252" t="s">
        <v>0</v>
      </c>
      <c r="D3" s="274" t="s">
        <v>261</v>
      </c>
      <c r="E3" s="40"/>
      <c r="F3" s="253" t="s">
        <v>107</v>
      </c>
      <c r="G3" s="254"/>
      <c r="H3" s="254"/>
      <c r="I3" s="254"/>
      <c r="J3" s="275"/>
      <c r="K3" s="114"/>
      <c r="L3" s="114"/>
      <c r="M3" s="255" t="s">
        <v>303</v>
      </c>
      <c r="N3" s="236" t="s">
        <v>304</v>
      </c>
      <c r="O3" s="236"/>
      <c r="P3" s="236"/>
      <c r="Q3" s="236"/>
      <c r="R3" s="236"/>
    </row>
    <row r="4" spans="1:18" ht="22.5" customHeight="1">
      <c r="A4" s="249"/>
      <c r="B4" s="276"/>
      <c r="C4" s="252"/>
      <c r="D4" s="274"/>
      <c r="E4" s="237" t="s">
        <v>298</v>
      </c>
      <c r="F4" s="239" t="s">
        <v>116</v>
      </c>
      <c r="G4" s="272" t="s">
        <v>299</v>
      </c>
      <c r="H4" s="243" t="s">
        <v>300</v>
      </c>
      <c r="I4" s="241" t="s">
        <v>217</v>
      </c>
      <c r="J4" s="256" t="s">
        <v>218</v>
      </c>
      <c r="K4" s="116" t="s">
        <v>172</v>
      </c>
      <c r="L4" s="121" t="s">
        <v>171</v>
      </c>
      <c r="M4" s="256"/>
      <c r="N4" s="258" t="s">
        <v>306</v>
      </c>
      <c r="O4" s="241" t="s">
        <v>136</v>
      </c>
      <c r="P4" s="260" t="s">
        <v>135</v>
      </c>
      <c r="Q4" s="122" t="s">
        <v>172</v>
      </c>
      <c r="R4" s="123" t="s">
        <v>171</v>
      </c>
    </row>
    <row r="5" spans="1:19" ht="92.25" customHeight="1">
      <c r="A5" s="250"/>
      <c r="B5" s="276"/>
      <c r="C5" s="252"/>
      <c r="D5" s="274"/>
      <c r="E5" s="238"/>
      <c r="F5" s="240"/>
      <c r="G5" s="273"/>
      <c r="H5" s="244"/>
      <c r="I5" s="242"/>
      <c r="J5" s="257"/>
      <c r="K5" s="245" t="s">
        <v>302</v>
      </c>
      <c r="L5" s="246"/>
      <c r="M5" s="257"/>
      <c r="N5" s="259"/>
      <c r="O5" s="242"/>
      <c r="P5" s="260"/>
      <c r="Q5" s="245" t="s">
        <v>176</v>
      </c>
      <c r="R5" s="24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7.2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458752.5</v>
      </c>
      <c r="F8" s="18">
        <f>F9+F15+F18+F19+F20+F32+F17</f>
        <v>480879.25</v>
      </c>
      <c r="G8" s="18">
        <f>#N/A</f>
        <v>22126.75</v>
      </c>
      <c r="H8" s="45">
        <f>F8/E8*100</f>
        <v>104.82324347006285</v>
      </c>
      <c r="I8" s="31">
        <f>#N/A</f>
        <v>-91409.75</v>
      </c>
      <c r="J8" s="31">
        <f>#N/A</f>
        <v>84.02734457590483</v>
      </c>
      <c r="K8" s="18">
        <f>K9+K15+K18+K19+K20+K32</f>
        <v>121895.40599999997</v>
      </c>
      <c r="L8" s="18"/>
      <c r="M8" s="18">
        <f>M9+M15+M18+M19+M20+M32+M17</f>
        <v>45676.399999999994</v>
      </c>
      <c r="N8" s="18">
        <f>N9+N15+N18+N19+N20+N32+N17</f>
        <v>51367.13999999998</v>
      </c>
      <c r="O8" s="31">
        <f>#N/A</f>
        <v>5690.739999999983</v>
      </c>
      <c r="P8" s="31">
        <f>F8/M8*100</f>
        <v>1052.7958639472465</v>
      </c>
      <c r="Q8" s="31">
        <f>N8-33748.16</f>
        <v>17618.979999999974</v>
      </c>
      <c r="R8" s="125">
        <f>N8/33748.16</f>
        <v>1.522072314460995</v>
      </c>
    </row>
    <row r="9" spans="1:19" s="6" customFormat="1" ht="15">
      <c r="A9" s="8"/>
      <c r="B9" s="15" t="s">
        <v>223</v>
      </c>
      <c r="C9" s="59">
        <v>11010000</v>
      </c>
      <c r="D9" s="36">
        <v>312190</v>
      </c>
      <c r="E9" s="36">
        <v>248614.55</v>
      </c>
      <c r="F9" s="143">
        <v>264375.41</v>
      </c>
      <c r="G9" s="43">
        <f>#N/A</f>
        <v>15760.859999999986</v>
      </c>
      <c r="H9" s="35">
        <f>#N/A</f>
        <v>106.33947610869919</v>
      </c>
      <c r="I9" s="50">
        <f>#N/A</f>
        <v>-47814.590000000026</v>
      </c>
      <c r="J9" s="50">
        <f>#N/A</f>
        <v>84.68413786476184</v>
      </c>
      <c r="K9" s="132">
        <f>F9-282613.68/75*60</f>
        <v>38284.465999999986</v>
      </c>
      <c r="L9" s="132">
        <f>F9/(282613.68/75*60)*100</f>
        <v>116.93321515787912</v>
      </c>
      <c r="M9" s="35">
        <f>E9-серпень!E9</f>
        <v>26089.899999999994</v>
      </c>
      <c r="N9" s="35">
        <f>F9-серпень!F9</f>
        <v>30664.399999999965</v>
      </c>
      <c r="O9" s="47">
        <f>#N/A</f>
        <v>4574.499999999971</v>
      </c>
      <c r="P9" s="50">
        <f>#N/A</f>
        <v>117.53360495824043</v>
      </c>
      <c r="Q9" s="132">
        <f>N9-26568.11</f>
        <v>4096.2899999999645</v>
      </c>
      <c r="R9" s="133">
        <f>N9/26568.11</f>
        <v>1.1541807076227841</v>
      </c>
      <c r="S9" s="158"/>
    </row>
    <row r="10" spans="1:18" s="6" customFormat="1" ht="15" hidden="1">
      <c r="A10" s="8"/>
      <c r="B10" s="183" t="s">
        <v>253</v>
      </c>
      <c r="C10" s="134">
        <v>11010100</v>
      </c>
      <c r="D10" s="135">
        <v>270410</v>
      </c>
      <c r="E10" s="135">
        <v>218490.25</v>
      </c>
      <c r="F10" s="144">
        <v>233936.48</v>
      </c>
      <c r="G10" s="135">
        <f>#N/A</f>
        <v>15446.23000000001</v>
      </c>
      <c r="H10" s="137">
        <f>#N/A</f>
        <v>107.06952827414496</v>
      </c>
      <c r="I10" s="136">
        <f>#N/A</f>
        <v>-36473.51999999999</v>
      </c>
      <c r="J10" s="136">
        <f>#N/A</f>
        <v>86.51177101438556</v>
      </c>
      <c r="K10" s="138">
        <f>F10-251377.17/75*60</f>
        <v>32834.744000000006</v>
      </c>
      <c r="L10" s="138">
        <f>F10/(251377.17/75*60)*100</f>
        <v>116.32742941612399</v>
      </c>
      <c r="M10" s="137">
        <f>E10-серпень!E10</f>
        <v>22490</v>
      </c>
      <c r="N10" s="137">
        <f>F10-серпень!F10</f>
        <v>27318.27000000002</v>
      </c>
      <c r="O10" s="138">
        <f>#N/A</f>
        <v>4828.270000000019</v>
      </c>
      <c r="P10" s="136">
        <f>#N/A</f>
        <v>121.46851934192983</v>
      </c>
      <c r="Q10" s="50"/>
      <c r="R10" s="126"/>
    </row>
    <row r="11" spans="1:18" s="6" customFormat="1" ht="15" hidden="1">
      <c r="A11" s="8"/>
      <c r="B11" s="183" t="s">
        <v>249</v>
      </c>
      <c r="C11" s="134">
        <v>11010200</v>
      </c>
      <c r="D11" s="135">
        <v>23200</v>
      </c>
      <c r="E11" s="135">
        <v>16787.9</v>
      </c>
      <c r="F11" s="144">
        <v>14002.69</v>
      </c>
      <c r="G11" s="135">
        <f>#N/A</f>
        <v>-2785.210000000001</v>
      </c>
      <c r="H11" s="137">
        <f>#N/A</f>
        <v>83.40941987979437</v>
      </c>
      <c r="I11" s="136">
        <f>#N/A</f>
        <v>-9197.31</v>
      </c>
      <c r="J11" s="136">
        <f>#N/A</f>
        <v>60.35642241379311</v>
      </c>
      <c r="K11" s="138">
        <f>F11-18550.28/75*60</f>
        <v>-837.5339999999997</v>
      </c>
      <c r="L11" s="138">
        <f>F11/(18550.28/75*60)*100</f>
        <v>94.35632507972926</v>
      </c>
      <c r="M11" s="137">
        <f>E11-серпень!E11</f>
        <v>2099.9000000000015</v>
      </c>
      <c r="N11" s="137">
        <f>F11-серпень!F11</f>
        <v>1594.130000000001</v>
      </c>
      <c r="O11" s="138">
        <f>#N/A</f>
        <v>-505.77000000000044</v>
      </c>
      <c r="P11" s="136">
        <f>#N/A</f>
        <v>75.91456736035049</v>
      </c>
      <c r="Q11" s="50"/>
      <c r="R11" s="126"/>
    </row>
    <row r="12" spans="1:18" s="6" customFormat="1" ht="15" hidden="1">
      <c r="A12" s="8"/>
      <c r="B12" s="183" t="s">
        <v>252</v>
      </c>
      <c r="C12" s="134">
        <v>11010400</v>
      </c>
      <c r="D12" s="135">
        <v>5800</v>
      </c>
      <c r="E12" s="135">
        <v>3909</v>
      </c>
      <c r="F12" s="144">
        <v>3744.64</v>
      </c>
      <c r="G12" s="135">
        <f>#N/A</f>
        <v>-164.36000000000013</v>
      </c>
      <c r="H12" s="137">
        <f>#N/A</f>
        <v>95.79534407776926</v>
      </c>
      <c r="I12" s="136">
        <f>#N/A</f>
        <v>-2055.36</v>
      </c>
      <c r="J12" s="136">
        <f>#N/A</f>
        <v>64.56275862068965</v>
      </c>
      <c r="K12" s="138">
        <f>F12-5298.15/75*60</f>
        <v>-493.87999999999965</v>
      </c>
      <c r="L12" s="138">
        <f>F12/(5298.15*60)*100</f>
        <v>1.1779709269587813</v>
      </c>
      <c r="M12" s="137">
        <f>E12-серпень!E12</f>
        <v>660</v>
      </c>
      <c r="N12" s="137">
        <f>F12-серпень!F12</f>
        <v>413.27999999999975</v>
      </c>
      <c r="O12" s="138">
        <f>#N/A</f>
        <v>-246.72000000000025</v>
      </c>
      <c r="P12" s="136">
        <f>#N/A</f>
        <v>62.61818181818178</v>
      </c>
      <c r="Q12" s="50"/>
      <c r="R12" s="126"/>
    </row>
    <row r="13" spans="1:18" s="6" customFormat="1" ht="15" hidden="1">
      <c r="A13" s="8"/>
      <c r="B13" s="183" t="s">
        <v>250</v>
      </c>
      <c r="C13" s="134">
        <v>11010500</v>
      </c>
      <c r="D13" s="135">
        <v>8400</v>
      </c>
      <c r="E13" s="135">
        <v>6223.4</v>
      </c>
      <c r="F13" s="144">
        <v>5730.24</v>
      </c>
      <c r="G13" s="135">
        <f>#N/A</f>
        <v>-493.15999999999985</v>
      </c>
      <c r="H13" s="137">
        <f>#N/A</f>
        <v>92.07571423980461</v>
      </c>
      <c r="I13" s="136">
        <f>#N/A</f>
        <v>-2669.76</v>
      </c>
      <c r="J13" s="136">
        <f>#N/A</f>
        <v>68.21714285714286</v>
      </c>
      <c r="K13" s="138">
        <f>F13-7303.25/75*60</f>
        <v>-112.36000000000058</v>
      </c>
      <c r="L13" s="138">
        <f>F13/(7303.25/75*60)*100</f>
        <v>98.07688357922841</v>
      </c>
      <c r="M13" s="137">
        <f>E13-серпень!E13</f>
        <v>450</v>
      </c>
      <c r="N13" s="137">
        <f>F13-серпень!F13</f>
        <v>753.5100000000002</v>
      </c>
      <c r="O13" s="138">
        <f>#N/A</f>
        <v>303.5100000000002</v>
      </c>
      <c r="P13" s="136">
        <f>#N/A</f>
        <v>167.44666666666672</v>
      </c>
      <c r="Q13" s="50"/>
      <c r="R13" s="126"/>
    </row>
    <row r="14" spans="1:18" s="6" customFormat="1" ht="15" hidden="1">
      <c r="A14" s="8"/>
      <c r="B14" s="183" t="s">
        <v>251</v>
      </c>
      <c r="C14" s="134">
        <v>11010900</v>
      </c>
      <c r="D14" s="135">
        <v>4380</v>
      </c>
      <c r="E14" s="135">
        <v>3204</v>
      </c>
      <c r="F14" s="144">
        <v>6961.36</v>
      </c>
      <c r="G14" s="135">
        <f>#N/A</f>
        <v>3757.3599999999997</v>
      </c>
      <c r="H14" s="137">
        <f>#N/A</f>
        <v>217.270911360799</v>
      </c>
      <c r="I14" s="136">
        <f>#N/A</f>
        <v>2581.3599999999997</v>
      </c>
      <c r="J14" s="136">
        <f>#N/A</f>
        <v>158.9351598173516</v>
      </c>
      <c r="K14" s="138">
        <f>F14-84.83/75*60</f>
        <v>6893.496</v>
      </c>
      <c r="L14" s="138">
        <f>F14/(84.83/75*60)*100</f>
        <v>10257.8097371213</v>
      </c>
      <c r="M14" s="137">
        <f>E14-липень!E14</f>
        <v>780</v>
      </c>
      <c r="N14" s="137">
        <f>F14-серпень!F14</f>
        <v>585.2199999999993</v>
      </c>
      <c r="O14" s="138">
        <f>#N/A</f>
        <v>-194.78000000000065</v>
      </c>
      <c r="P14" s="136">
        <f>#N/A</f>
        <v>75.02820512820504</v>
      </c>
      <c r="Q14" s="50"/>
      <c r="R14" s="126"/>
    </row>
    <row r="15" spans="1:18" s="6" customFormat="1" ht="30.75">
      <c r="A15" s="8"/>
      <c r="B15" s="14" t="s">
        <v>19</v>
      </c>
      <c r="C15" s="59">
        <v>11020200</v>
      </c>
      <c r="D15" s="36">
        <v>500</v>
      </c>
      <c r="E15" s="36">
        <v>171.4</v>
      </c>
      <c r="F15" s="143">
        <v>-666.69</v>
      </c>
      <c r="G15" s="43">
        <f>#N/A</f>
        <v>-838.09</v>
      </c>
      <c r="H15" s="35"/>
      <c r="I15" s="50">
        <f>#N/A</f>
        <v>-1166.69</v>
      </c>
      <c r="J15" s="50">
        <f>F15/D15*100</f>
        <v>-133.338</v>
      </c>
      <c r="K15" s="53">
        <f>F15-(-404.47)</f>
        <v>-262.22</v>
      </c>
      <c r="L15" s="53">
        <f>F15/(-404.47)*100</f>
        <v>164.83051895072563</v>
      </c>
      <c r="M15" s="35">
        <f>E15-серпень!E15</f>
        <v>0.09999999999999432</v>
      </c>
      <c r="N15" s="35">
        <f>F15-серпень!F15</f>
        <v>67.88999999999999</v>
      </c>
      <c r="O15" s="47">
        <f>#N/A</f>
        <v>67.78999999999999</v>
      </c>
      <c r="P15" s="50"/>
      <c r="Q15" s="50">
        <f>N15-358.81</f>
        <v>-290.92</v>
      </c>
      <c r="R15" s="126">
        <f>N15/358.81</f>
        <v>0.18920877344555612</v>
      </c>
    </row>
    <row r="16" spans="1:18" s="6" customFormat="1" ht="1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-1165.92</v>
      </c>
      <c r="G16" s="135">
        <f>#N/A</f>
        <v>-1165.92</v>
      </c>
      <c r="H16" s="137"/>
      <c r="I16" s="136">
        <f>#N/A</f>
        <v>-1165.92</v>
      </c>
      <c r="J16" s="136"/>
      <c r="K16" s="138">
        <f>F16-95.61</f>
        <v>-1261.53</v>
      </c>
      <c r="L16" s="138">
        <f>F16/95.61*100</f>
        <v>-1219.4540320050205</v>
      </c>
      <c r="M16" s="35">
        <f>E16-серпень!E16</f>
        <v>0</v>
      </c>
      <c r="N16" s="35">
        <f>F16-серпень!F16</f>
        <v>67.88999999999987</v>
      </c>
      <c r="O16" s="138">
        <f>#N/A</f>
        <v>67.88999999999987</v>
      </c>
      <c r="P16" s="50"/>
      <c r="Q16" s="136">
        <f>N16-358.81</f>
        <v>-290.92000000000013</v>
      </c>
      <c r="R16" s="141">
        <f>N16/358.79</f>
        <v>0.18921932049388185</v>
      </c>
    </row>
    <row r="17" spans="1:18" s="6" customFormat="1" ht="30.7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E17-серпень!E17</f>
        <v>0</v>
      </c>
      <c r="N17" s="35">
        <f>F17-серпень!F17</f>
        <v>0</v>
      </c>
      <c r="O17" s="138"/>
      <c r="P17" s="50"/>
      <c r="Q17" s="136"/>
      <c r="R17" s="141"/>
    </row>
    <row r="18" spans="1:18" s="6" customFormat="1" ht="30.7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>#N/A</f>
        <v>2.8000000000000007</v>
      </c>
      <c r="H18" s="35">
        <f>#N/A</f>
        <v>121.53846153846155</v>
      </c>
      <c r="I18" s="50">
        <f>#N/A</f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E18-серпень!E18</f>
        <v>0</v>
      </c>
      <c r="N18" s="35">
        <f>F18-серпень!F18</f>
        <v>0</v>
      </c>
      <c r="O18" s="47">
        <f>#N/A</f>
        <v>0</v>
      </c>
      <c r="P18" s="50" t="e">
        <f>#N/A</f>
        <v>#DIV/0!</v>
      </c>
      <c r="Q18" s="50"/>
      <c r="R18" s="126"/>
    </row>
    <row r="19" spans="1:18" s="6" customFormat="1" ht="46.5">
      <c r="A19" s="8"/>
      <c r="B19" s="60" t="s">
        <v>204</v>
      </c>
      <c r="C19" s="59">
        <v>14040000</v>
      </c>
      <c r="D19" s="43">
        <f>29950+32260</f>
        <v>62210</v>
      </c>
      <c r="E19" s="43">
        <v>50722.75</v>
      </c>
      <c r="F19" s="168">
        <v>51468.87</v>
      </c>
      <c r="G19" s="43">
        <f>#N/A</f>
        <v>746.1200000000026</v>
      </c>
      <c r="H19" s="35">
        <f>#N/A</f>
        <v>101.47097702707366</v>
      </c>
      <c r="I19" s="50">
        <f>#N/A</f>
        <v>-10741.129999999997</v>
      </c>
      <c r="J19" s="178">
        <f>F19/D19*100</f>
        <v>82.73407812248836</v>
      </c>
      <c r="K19" s="179">
        <f>F19-0</f>
        <v>51468.87</v>
      </c>
      <c r="L19" s="180"/>
      <c r="M19" s="35">
        <f>E19-серпень!E19</f>
        <v>6800</v>
      </c>
      <c r="N19" s="35">
        <f>F19-серпень!F19</f>
        <v>7591.209999999999</v>
      </c>
      <c r="O19" s="47">
        <f>#N/A</f>
        <v>791.2099999999991</v>
      </c>
      <c r="P19" s="50">
        <f>#N/A</f>
        <v>111.63544117647058</v>
      </c>
      <c r="Q19" s="139"/>
      <c r="R19" s="140"/>
    </row>
    <row r="20" spans="1:18" s="6" customFormat="1" ht="1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153478.4</v>
      </c>
      <c r="F20" s="169">
        <f>F21+F25+F27+F26</f>
        <v>160106.59</v>
      </c>
      <c r="G20" s="43">
        <f>#N/A</f>
        <v>6628.190000000002</v>
      </c>
      <c r="H20" s="35">
        <f>#N/A</f>
        <v>104.3186467932947</v>
      </c>
      <c r="I20" s="50">
        <f>#N/A</f>
        <v>-29763.410000000003</v>
      </c>
      <c r="J20" s="178">
        <f>#N/A</f>
        <v>84.32432190446094</v>
      </c>
      <c r="K20" s="178">
        <f>K21+K25+K26+K27</f>
        <v>34181.49999999999</v>
      </c>
      <c r="L20" s="136"/>
      <c r="M20" s="35">
        <f>E20-серпень!E20</f>
        <v>12786.100000000006</v>
      </c>
      <c r="N20" s="35">
        <f>F20-серпень!F20</f>
        <v>13038.420000000013</v>
      </c>
      <c r="O20" s="47">
        <f>#N/A</f>
        <v>252.32000000000698</v>
      </c>
      <c r="P20" s="50">
        <f>#N/A</f>
        <v>101.97339298144084</v>
      </c>
      <c r="Q20" s="139"/>
      <c r="R20" s="140"/>
    </row>
    <row r="21" spans="1:18" s="6" customFormat="1" ht="1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85900.4</v>
      </c>
      <c r="F21" s="169">
        <f>F22+F23+F24</f>
        <v>88979.31999999999</v>
      </c>
      <c r="G21" s="43">
        <f>#N/A</f>
        <v>3078.9199999999983</v>
      </c>
      <c r="H21" s="35">
        <f>#N/A</f>
        <v>103.58429064358256</v>
      </c>
      <c r="I21" s="50">
        <f>#N/A</f>
        <v>-21320.680000000008</v>
      </c>
      <c r="J21" s="178">
        <f>#N/A</f>
        <v>80.67028105167724</v>
      </c>
      <c r="K21" s="178">
        <f>K22+K23+K24</f>
        <v>27432.709999999995</v>
      </c>
      <c r="L21" s="136"/>
      <c r="M21" s="35">
        <f>E21-серпень!E21</f>
        <v>8720.099999999991</v>
      </c>
      <c r="N21" s="35">
        <f>F21-серпень!F21</f>
        <v>9180.439999999988</v>
      </c>
      <c r="O21" s="47">
        <f>#N/A</f>
        <v>460.3399999999965</v>
      </c>
      <c r="P21" s="50">
        <f>#N/A</f>
        <v>105.27906790059744</v>
      </c>
      <c r="Q21" s="139"/>
      <c r="R21" s="140"/>
    </row>
    <row r="22" spans="1:18" s="6" customFormat="1" ht="15">
      <c r="A22" s="8"/>
      <c r="B22" s="69" t="s">
        <v>209</v>
      </c>
      <c r="C22" s="59"/>
      <c r="D22" s="135">
        <f>1000+9700</f>
        <v>10700</v>
      </c>
      <c r="E22" s="135">
        <v>8794.4</v>
      </c>
      <c r="F22" s="144">
        <v>9131.68</v>
      </c>
      <c r="G22" s="135">
        <f>#N/A</f>
        <v>337.28000000000065</v>
      </c>
      <c r="H22" s="137">
        <f>#N/A</f>
        <v>103.83516783407624</v>
      </c>
      <c r="I22" s="136">
        <f>#N/A</f>
        <v>-1568.3199999999997</v>
      </c>
      <c r="J22" s="136">
        <f>#N/A</f>
        <v>85.34280373831777</v>
      </c>
      <c r="K22" s="136">
        <f>F22-314.15</f>
        <v>8817.53</v>
      </c>
      <c r="L22" s="136">
        <f>F22/314.15*100</f>
        <v>2906.78975011937</v>
      </c>
      <c r="M22" s="137">
        <f>E22-серпень!E22</f>
        <v>171.10000000000036</v>
      </c>
      <c r="N22" s="137">
        <f>F22-серпень!F22</f>
        <v>457.9400000000005</v>
      </c>
      <c r="O22" s="138">
        <f>#N/A</f>
        <v>286.84000000000015</v>
      </c>
      <c r="P22" s="136">
        <f>#N/A</f>
        <v>267.64465225014584</v>
      </c>
      <c r="Q22" s="139"/>
      <c r="R22" s="140"/>
    </row>
    <row r="23" spans="1:18" s="6" customFormat="1" ht="15">
      <c r="A23" s="8"/>
      <c r="B23" s="69" t="s">
        <v>210</v>
      </c>
      <c r="C23" s="59"/>
      <c r="D23" s="135">
        <f>1500+600</f>
        <v>2100</v>
      </c>
      <c r="E23" s="135">
        <v>1787</v>
      </c>
      <c r="F23" s="144">
        <v>3333.63</v>
      </c>
      <c r="G23" s="135">
        <f>#N/A</f>
        <v>1546.63</v>
      </c>
      <c r="H23" s="137">
        <f>#N/A</f>
        <v>186.54896474538333</v>
      </c>
      <c r="I23" s="136">
        <f>#N/A</f>
        <v>1233.63</v>
      </c>
      <c r="J23" s="136">
        <f>#N/A</f>
        <v>158.74428571428572</v>
      </c>
      <c r="K23" s="136">
        <f>F23-0</f>
        <v>3333.63</v>
      </c>
      <c r="L23" s="136"/>
      <c r="M23" s="137">
        <f>E23-серпень!E23</f>
        <v>309</v>
      </c>
      <c r="N23" s="137">
        <f>F23-серпень!F23</f>
        <v>216.6800000000003</v>
      </c>
      <c r="O23" s="138">
        <f>#N/A</f>
        <v>-92.31999999999971</v>
      </c>
      <c r="P23" s="136"/>
      <c r="Q23" s="139"/>
      <c r="R23" s="140"/>
    </row>
    <row r="24" spans="1:18" s="6" customFormat="1" ht="15">
      <c r="A24" s="8"/>
      <c r="B24" s="69" t="s">
        <v>211</v>
      </c>
      <c r="C24" s="59"/>
      <c r="D24" s="135">
        <f>95700+1800</f>
        <v>97500</v>
      </c>
      <c r="E24" s="135">
        <v>75319</v>
      </c>
      <c r="F24" s="144">
        <v>76514.01</v>
      </c>
      <c r="G24" s="135">
        <f>#N/A</f>
        <v>1195.0099999999948</v>
      </c>
      <c r="H24" s="137">
        <f>#N/A</f>
        <v>101.58659833508146</v>
      </c>
      <c r="I24" s="136">
        <f>#N/A</f>
        <v>-20985.990000000005</v>
      </c>
      <c r="J24" s="136">
        <f>#N/A</f>
        <v>78.47590769230769</v>
      </c>
      <c r="K24" s="224">
        <f>F24-61232.46</f>
        <v>15281.549999999996</v>
      </c>
      <c r="L24" s="224">
        <f>F24/61232.46*100</f>
        <v>124.95661614770988</v>
      </c>
      <c r="M24" s="137">
        <f>E24-серпень!E24</f>
        <v>8240</v>
      </c>
      <c r="N24" s="137">
        <f>F24-серпень!F24</f>
        <v>8505.819999999992</v>
      </c>
      <c r="O24" s="138">
        <f>#N/A</f>
        <v>265.81999999999243</v>
      </c>
      <c r="P24" s="136">
        <f>#N/A</f>
        <v>103.22597087378631</v>
      </c>
      <c r="Q24" s="139"/>
      <c r="R24" s="140"/>
    </row>
    <row r="25" spans="1:18" s="6" customFormat="1" ht="15">
      <c r="A25" s="8"/>
      <c r="B25" s="60" t="s">
        <v>244</v>
      </c>
      <c r="C25" s="170">
        <v>18030000</v>
      </c>
      <c r="D25" s="43">
        <v>70</v>
      </c>
      <c r="E25" s="43">
        <v>41.5</v>
      </c>
      <c r="F25" s="168">
        <v>55.85</v>
      </c>
      <c r="G25" s="43">
        <f>#N/A</f>
        <v>14.350000000000001</v>
      </c>
      <c r="H25" s="35">
        <f>#N/A</f>
        <v>134.57831325301206</v>
      </c>
      <c r="I25" s="50">
        <f>#N/A</f>
        <v>-14.149999999999999</v>
      </c>
      <c r="J25" s="178">
        <f>#N/A</f>
        <v>79.78571428571429</v>
      </c>
      <c r="K25" s="178">
        <f>F25-44.08</f>
        <v>11.770000000000003</v>
      </c>
      <c r="L25" s="178">
        <f>F25/44.08*100</f>
        <v>126.70145190562614</v>
      </c>
      <c r="M25" s="35">
        <f>E25-серпень!E25</f>
        <v>6</v>
      </c>
      <c r="N25" s="35">
        <f>F25-серпень!F25</f>
        <v>7</v>
      </c>
      <c r="O25" s="47">
        <f>#N/A</f>
        <v>1</v>
      </c>
      <c r="P25" s="50">
        <f>#N/A</f>
        <v>116.66666666666667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-705.98</v>
      </c>
      <c r="G26" s="43">
        <f>#N/A</f>
        <v>-705.98</v>
      </c>
      <c r="H26" s="35"/>
      <c r="I26" s="50">
        <f>#N/A</f>
        <v>-705.98</v>
      </c>
      <c r="J26" s="136"/>
      <c r="K26" s="178">
        <f>F26-4797.94</f>
        <v>-5503.92</v>
      </c>
      <c r="L26" s="178">
        <f>F26/4797.94*100</f>
        <v>-14.714231524362539</v>
      </c>
      <c r="M26" s="35">
        <f>E26-серпень!E26</f>
        <v>0</v>
      </c>
      <c r="N26" s="35">
        <f>F26-серпень!F26</f>
        <v>-91.40999999999997</v>
      </c>
      <c r="O26" s="47">
        <f>#N/A</f>
        <v>-91.40999999999997</v>
      </c>
      <c r="P26" s="50"/>
      <c r="Q26" s="139"/>
      <c r="R26" s="140"/>
    </row>
    <row r="27" spans="1:18" s="6" customFormat="1" ht="15">
      <c r="A27" s="8"/>
      <c r="B27" s="60" t="s">
        <v>246</v>
      </c>
      <c r="C27" s="170">
        <v>18050000</v>
      </c>
      <c r="D27" s="43">
        <f>68500+11000</f>
        <v>79500</v>
      </c>
      <c r="E27" s="43">
        <v>67536.5</v>
      </c>
      <c r="F27" s="168">
        <v>71777.4</v>
      </c>
      <c r="G27" s="43">
        <f>#N/A</f>
        <v>4240.899999999994</v>
      </c>
      <c r="H27" s="35">
        <f>#N/A</f>
        <v>106.27941927698355</v>
      </c>
      <c r="I27" s="50">
        <f>#N/A</f>
        <v>-7722.600000000006</v>
      </c>
      <c r="J27" s="178">
        <f>#N/A</f>
        <v>90.28603773584905</v>
      </c>
      <c r="K27" s="132">
        <f>F27-59536.46</f>
        <v>12240.939999999995</v>
      </c>
      <c r="L27" s="132">
        <f>F27/59536.46*100</f>
        <v>120.56040953728184</v>
      </c>
      <c r="M27" s="35">
        <f>E27-серпень!E27</f>
        <v>4060</v>
      </c>
      <c r="N27" s="35">
        <f>F27-серпень!F27</f>
        <v>3942.3899999999994</v>
      </c>
      <c r="O27" s="47">
        <f>#N/A</f>
        <v>-117.61000000000058</v>
      </c>
      <c r="P27" s="50">
        <f>#N/A</f>
        <v>97.10320197044334</v>
      </c>
      <c r="Q27" s="139"/>
      <c r="R27" s="140"/>
    </row>
    <row r="28" spans="1:18" s="6" customFormat="1" ht="15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>#N/A</f>
        <v>-1.17</v>
      </c>
      <c r="H28" s="137"/>
      <c r="I28" s="136">
        <f>#N/A</f>
        <v>-1.17</v>
      </c>
      <c r="J28" s="136"/>
      <c r="K28" s="139">
        <f>F28-1.2</f>
        <v>-2.37</v>
      </c>
      <c r="L28" s="139">
        <f>F28/1.2*100</f>
        <v>-97.5</v>
      </c>
      <c r="M28" s="137">
        <f>E28-серпень!E28</f>
        <v>0</v>
      </c>
      <c r="N28" s="137">
        <f>F28-серпень!F28</f>
        <v>0.030000000000000027</v>
      </c>
      <c r="O28" s="138">
        <f>#N/A</f>
        <v>0.030000000000000027</v>
      </c>
      <c r="P28" s="136"/>
      <c r="Q28" s="139"/>
      <c r="R28" s="140"/>
    </row>
    <row r="29" spans="1:18" s="6" customFormat="1" ht="15">
      <c r="A29" s="8"/>
      <c r="B29" s="69" t="s">
        <v>255</v>
      </c>
      <c r="C29" s="134">
        <v>18050300</v>
      </c>
      <c r="D29" s="135">
        <v>19200</v>
      </c>
      <c r="E29" s="135">
        <v>16780</v>
      </c>
      <c r="F29" s="144">
        <v>17739.76</v>
      </c>
      <c r="G29" s="135">
        <f>#N/A</f>
        <v>959.7599999999984</v>
      </c>
      <c r="H29" s="137">
        <f>#N/A</f>
        <v>105.71966626936829</v>
      </c>
      <c r="I29" s="136">
        <f>#N/A</f>
        <v>-1460.2400000000016</v>
      </c>
      <c r="J29" s="136">
        <f>#N/A</f>
        <v>92.39458333333333</v>
      </c>
      <c r="K29" s="139">
        <f>F29-16472.46</f>
        <v>1267.2999999999993</v>
      </c>
      <c r="L29" s="139">
        <f>F29/16472.46*100</f>
        <v>107.69344712325906</v>
      </c>
      <c r="M29" s="137">
        <f>E29-серпень!E29</f>
        <v>1200</v>
      </c>
      <c r="N29" s="137">
        <f>F29-серпень!F29</f>
        <v>808.4299999999967</v>
      </c>
      <c r="O29" s="138">
        <f>#N/A</f>
        <v>-391.57000000000335</v>
      </c>
      <c r="P29" s="136"/>
      <c r="Q29" s="139"/>
      <c r="R29" s="140"/>
    </row>
    <row r="30" spans="1:18" s="6" customFormat="1" ht="15">
      <c r="A30" s="8"/>
      <c r="B30" s="69" t="s">
        <v>256</v>
      </c>
      <c r="C30" s="134">
        <v>18050400</v>
      </c>
      <c r="D30" s="135">
        <v>60300</v>
      </c>
      <c r="E30" s="135">
        <v>50756.5</v>
      </c>
      <c r="F30" s="144">
        <v>54015.97</v>
      </c>
      <c r="G30" s="135">
        <f>#N/A</f>
        <v>3259.470000000001</v>
      </c>
      <c r="H30" s="137">
        <f>#N/A</f>
        <v>106.42177849142476</v>
      </c>
      <c r="I30" s="136">
        <f>#N/A</f>
        <v>-6284.029999999999</v>
      </c>
      <c r="J30" s="136">
        <f>#N/A</f>
        <v>89.57872305140963</v>
      </c>
      <c r="K30" s="139">
        <f>F30-43062.79</f>
        <v>10953.18</v>
      </c>
      <c r="L30" s="139">
        <f>F30/43062.79*100</f>
        <v>125.43537007239894</v>
      </c>
      <c r="M30" s="137">
        <f>E30-серпень!E30</f>
        <v>2860</v>
      </c>
      <c r="N30" s="137">
        <f>F30-серпень!F30</f>
        <v>3127.9000000000015</v>
      </c>
      <c r="O30" s="138">
        <f>#N/A</f>
        <v>267.90000000000146</v>
      </c>
      <c r="P30" s="136"/>
      <c r="Q30" s="139"/>
      <c r="R30" s="140"/>
    </row>
    <row r="31" spans="1:18" s="6" customFormat="1" ht="15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22.84</v>
      </c>
      <c r="G31" s="135">
        <f>#N/A</f>
        <v>22.84</v>
      </c>
      <c r="H31" s="137"/>
      <c r="I31" s="136">
        <f>#N/A</f>
        <v>22.84</v>
      </c>
      <c r="J31" s="136"/>
      <c r="K31" s="139">
        <f>F31-0</f>
        <v>22.84</v>
      </c>
      <c r="L31" s="139"/>
      <c r="M31" s="137">
        <f>E31-серпень!E31</f>
        <v>0</v>
      </c>
      <c r="N31" s="137">
        <f>F31-серпень!F31</f>
        <v>6.030000000000001</v>
      </c>
      <c r="O31" s="138">
        <f>#N/A</f>
        <v>6.030000000000001</v>
      </c>
      <c r="P31" s="136"/>
      <c r="Q31" s="139"/>
      <c r="R31" s="140"/>
    </row>
    <row r="32" spans="1:18" s="6" customFormat="1" ht="15">
      <c r="A32" s="8"/>
      <c r="B32" s="60" t="s">
        <v>132</v>
      </c>
      <c r="C32" s="59">
        <v>19010000</v>
      </c>
      <c r="D32" s="43">
        <v>7500</v>
      </c>
      <c r="E32" s="43">
        <v>5752.4</v>
      </c>
      <c r="F32" s="168">
        <v>5579.18</v>
      </c>
      <c r="G32" s="43">
        <f>#N/A</f>
        <v>-173.21999999999935</v>
      </c>
      <c r="H32" s="35">
        <f>#N/A</f>
        <v>96.98873513663862</v>
      </c>
      <c r="I32" s="50">
        <f>#N/A</f>
        <v>-1920.8199999999997</v>
      </c>
      <c r="J32" s="178">
        <f>#N/A</f>
        <v>74.38906666666666</v>
      </c>
      <c r="K32" s="178">
        <f>F32-7368.88</f>
        <v>-1789.6999999999998</v>
      </c>
      <c r="L32" s="178">
        <f>F32/7368.88*100</f>
        <v>75.71272703585892</v>
      </c>
      <c r="M32" s="35">
        <f>E32-серпень!E32</f>
        <v>0.2999999999992724</v>
      </c>
      <c r="N32" s="35">
        <f>F32-серпень!F32</f>
        <v>5.220000000000255</v>
      </c>
      <c r="O32" s="47">
        <f>#N/A</f>
        <v>4.920000000000982</v>
      </c>
      <c r="P32" s="50">
        <f>#N/A</f>
        <v>1740.000000004305</v>
      </c>
      <c r="Q32" s="139"/>
      <c r="R32" s="140"/>
    </row>
    <row r="33" spans="1:18" s="6" customFormat="1" ht="17.2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26650</v>
      </c>
      <c r="F33" s="18">
        <f>F34+F35+F36+F37+F38+F41+F42+F47+F48+F52+F40+F39</f>
        <v>28244.629999999997</v>
      </c>
      <c r="G33" s="44">
        <f>#N/A</f>
        <v>1594.6299999999974</v>
      </c>
      <c r="H33" s="45">
        <f>#N/A</f>
        <v>105.98360225140712</v>
      </c>
      <c r="I33" s="31">
        <f>#N/A</f>
        <v>-7394.940000000002</v>
      </c>
      <c r="J33" s="31">
        <f>#N/A</f>
        <v>79.25075975944715</v>
      </c>
      <c r="K33" s="18">
        <f>K34+K35+K36+K37+K38+K41+K42+K47+K48+K52+K40</f>
        <v>18485.94</v>
      </c>
      <c r="L33" s="18"/>
      <c r="M33" s="18">
        <f>M34+M35+M36+M37+M38+M41+M42+M47+M48+M52+M40+M39</f>
        <v>6559.8</v>
      </c>
      <c r="N33" s="18">
        <f>N34+N35+N36+N37+N38+N41+N42+N47+N48+N52+N40+N39</f>
        <v>6637.28</v>
      </c>
      <c r="O33" s="49">
        <f>#N/A</f>
        <v>77.47999999999956</v>
      </c>
      <c r="P33" s="31">
        <f>N33/M33*100</f>
        <v>101.18113357114547</v>
      </c>
      <c r="Q33" s="31">
        <f>N33-1017.63</f>
        <v>5619.65</v>
      </c>
      <c r="R33" s="127">
        <f>N33/1017.63</f>
        <v>6.5222919921779035</v>
      </c>
    </row>
    <row r="34" spans="1:18" s="6" customFormat="1" ht="46.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>#N/A</f>
        <v>-160.36</v>
      </c>
      <c r="H34" s="35">
        <f>#N/A</f>
        <v>-60.36</v>
      </c>
      <c r="I34" s="50">
        <f>#N/A</f>
        <v>-160.36</v>
      </c>
      <c r="J34" s="50">
        <f>#N/A</f>
        <v>-60.36</v>
      </c>
      <c r="K34" s="50">
        <f>F34-123.45</f>
        <v>-183.81</v>
      </c>
      <c r="L34" s="50">
        <f>F34/123.45*100</f>
        <v>-48.89428918590522</v>
      </c>
      <c r="M34" s="35">
        <f>E34-серпень!E34</f>
        <v>0</v>
      </c>
      <c r="N34" s="35">
        <f>F34-серпень!F34</f>
        <v>0</v>
      </c>
      <c r="O34" s="47">
        <f>#N/A</f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0.75">
      <c r="A35" s="8"/>
      <c r="B35" s="68" t="s">
        <v>214</v>
      </c>
      <c r="C35" s="57">
        <v>21050000</v>
      </c>
      <c r="D35" s="36">
        <f>1000+6932.47</f>
        <v>7932.47</v>
      </c>
      <c r="E35" s="36">
        <f>450+3700</f>
        <v>4150</v>
      </c>
      <c r="F35" s="143">
        <v>4154.01</v>
      </c>
      <c r="G35" s="43">
        <f>#N/A</f>
        <v>4.010000000000218</v>
      </c>
      <c r="H35" s="35">
        <f>#N/A</f>
        <v>100.09662650602411</v>
      </c>
      <c r="I35" s="50">
        <f>#N/A</f>
        <v>-3778.46</v>
      </c>
      <c r="J35" s="50"/>
      <c r="K35" s="50">
        <f>F35-0</f>
        <v>4154.01</v>
      </c>
      <c r="L35" s="50" t="e">
        <f>F35/0*100</f>
        <v>#DIV/0!</v>
      </c>
      <c r="M35" s="35">
        <f>E35-серпень!E35</f>
        <v>3950</v>
      </c>
      <c r="N35" s="35">
        <f>F35-серпень!F35</f>
        <v>3952.6400000000003</v>
      </c>
      <c r="O35" s="47">
        <f>#N/A</f>
        <v>2.6400000000003274</v>
      </c>
      <c r="P35" s="50"/>
      <c r="Q35" s="50">
        <f>N35-0</f>
        <v>3952.6400000000003</v>
      </c>
      <c r="R35" s="126" t="e">
        <f>N35/0</f>
        <v>#DIV/0!</v>
      </c>
    </row>
    <row r="36" spans="1:18" s="6" customFormat="1" ht="1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321.98</v>
      </c>
      <c r="G36" s="43">
        <f>#N/A</f>
        <v>81.98000000000002</v>
      </c>
      <c r="H36" s="35">
        <f>#N/A</f>
        <v>134.15833333333333</v>
      </c>
      <c r="I36" s="50">
        <f>#N/A</f>
        <v>81.98000000000002</v>
      </c>
      <c r="J36" s="50"/>
      <c r="K36" s="50">
        <f>F36-272.25</f>
        <v>49.73000000000002</v>
      </c>
      <c r="L36" s="50">
        <f>F36/272.25*100</f>
        <v>118.26629935720845</v>
      </c>
      <c r="M36" s="35">
        <f>E36-серпень!E36</f>
        <v>0</v>
      </c>
      <c r="N36" s="35">
        <f>F36-серпень!F36</f>
        <v>14.78000000000003</v>
      </c>
      <c r="O36" s="47">
        <f>#N/A</f>
        <v>14.78000000000003</v>
      </c>
      <c r="P36" s="50"/>
      <c r="Q36" s="50">
        <f>N36-4.23</f>
        <v>10.55000000000003</v>
      </c>
      <c r="R36" s="126">
        <f>N36/4.23</f>
        <v>3.494089834515373</v>
      </c>
    </row>
    <row r="37" spans="1:18" s="6" customFormat="1" ht="30.75">
      <c r="A37" s="8"/>
      <c r="B37" s="30" t="s">
        <v>123</v>
      </c>
      <c r="C37" s="94">
        <v>21080900</v>
      </c>
      <c r="D37" s="36">
        <v>6.5</v>
      </c>
      <c r="E37" s="36">
        <v>4</v>
      </c>
      <c r="F37" s="143">
        <v>0</v>
      </c>
      <c r="G37" s="43">
        <f>#N/A</f>
        <v>-4</v>
      </c>
      <c r="H37" s="35">
        <f>#N/A</f>
        <v>0</v>
      </c>
      <c r="I37" s="50">
        <f>#N/A</f>
        <v>-6.5</v>
      </c>
      <c r="J37" s="50">
        <f>#N/A</f>
        <v>0</v>
      </c>
      <c r="K37" s="50">
        <f>F37-5.6</f>
        <v>-5.6</v>
      </c>
      <c r="L37" s="50">
        <f>F37/5.6*100</f>
        <v>0</v>
      </c>
      <c r="M37" s="35">
        <f>E37-серпень!E37</f>
        <v>0.5</v>
      </c>
      <c r="N37" s="35">
        <f>F37-серпень!F37</f>
        <v>0</v>
      </c>
      <c r="O37" s="47">
        <f>#N/A</f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">
      <c r="A38" s="8"/>
      <c r="B38" s="15" t="s">
        <v>90</v>
      </c>
      <c r="C38" s="95">
        <v>21081100</v>
      </c>
      <c r="D38" s="36">
        <v>140</v>
      </c>
      <c r="E38" s="36">
        <v>105</v>
      </c>
      <c r="F38" s="143">
        <v>117.11</v>
      </c>
      <c r="G38" s="43">
        <f>#N/A</f>
        <v>12.11</v>
      </c>
      <c r="H38" s="35">
        <f>#N/A</f>
        <v>111.53333333333333</v>
      </c>
      <c r="I38" s="50">
        <f>#N/A</f>
        <v>-22.89</v>
      </c>
      <c r="J38" s="50">
        <f>#N/A</f>
        <v>83.65</v>
      </c>
      <c r="K38" s="50">
        <f>F38-97.95</f>
        <v>19.159999999999997</v>
      </c>
      <c r="L38" s="50">
        <f>F38/97.95*100</f>
        <v>119.56100051046452</v>
      </c>
      <c r="M38" s="35">
        <f>E38-серпень!E38</f>
        <v>15</v>
      </c>
      <c r="N38" s="35">
        <f>F38-серпень!F38</f>
        <v>13.049999999999997</v>
      </c>
      <c r="O38" s="47">
        <f>#N/A</f>
        <v>-1.9500000000000028</v>
      </c>
      <c r="P38" s="50">
        <f>N38/M38*100</f>
        <v>86.99999999999997</v>
      </c>
      <c r="Q38" s="50">
        <f>N38-9.02</f>
        <v>4.029999999999998</v>
      </c>
      <c r="R38" s="126">
        <f>N38/9.02</f>
        <v>1.4467849223946783</v>
      </c>
    </row>
    <row r="39" spans="1:18" s="6" customFormat="1" ht="46.5">
      <c r="A39" s="8"/>
      <c r="B39" s="15" t="s">
        <v>225</v>
      </c>
      <c r="C39" s="67">
        <v>21081500</v>
      </c>
      <c r="D39" s="36">
        <v>0</v>
      </c>
      <c r="E39" s="36"/>
      <c r="F39" s="143">
        <v>4</v>
      </c>
      <c r="G39" s="43">
        <f>#N/A</f>
        <v>4</v>
      </c>
      <c r="H39" s="35"/>
      <c r="I39" s="50">
        <f>F39-D39</f>
        <v>4</v>
      </c>
      <c r="J39" s="50"/>
      <c r="K39" s="50">
        <f>F39-0</f>
        <v>4</v>
      </c>
      <c r="L39" s="50"/>
      <c r="M39" s="35">
        <f>E39-серпень!E39</f>
        <v>0</v>
      </c>
      <c r="N39" s="35">
        <f>F39-серпень!F39</f>
        <v>0.5</v>
      </c>
      <c r="O39" s="47"/>
      <c r="P39" s="50"/>
      <c r="Q39" s="50"/>
      <c r="R39" s="126"/>
    </row>
    <row r="40" spans="1:18" s="6" customFormat="1" ht="15">
      <c r="A40" s="8"/>
      <c r="B40" s="41" t="s">
        <v>222</v>
      </c>
      <c r="C40" s="95">
        <v>22012500</v>
      </c>
      <c r="D40" s="36">
        <v>9000</v>
      </c>
      <c r="E40" s="36">
        <v>7937</v>
      </c>
      <c r="F40" s="143">
        <v>7605.46</v>
      </c>
      <c r="G40" s="43">
        <f>#N/A</f>
        <v>-331.53999999999996</v>
      </c>
      <c r="H40" s="35">
        <f>#N/A</f>
        <v>95.82285498299106</v>
      </c>
      <c r="I40" s="50">
        <f>#N/A</f>
        <v>-1394.54</v>
      </c>
      <c r="J40" s="50"/>
      <c r="K40" s="50">
        <f>F40-0</f>
        <v>7605.46</v>
      </c>
      <c r="L40" s="50"/>
      <c r="M40" s="35">
        <f>E40-серпень!E40</f>
        <v>1000</v>
      </c>
      <c r="N40" s="35">
        <f>F40-серпень!F40</f>
        <v>833.4099999999999</v>
      </c>
      <c r="O40" s="47"/>
      <c r="P40" s="50"/>
      <c r="Q40" s="50"/>
      <c r="R40" s="126"/>
    </row>
    <row r="41" spans="1:18" s="6" customFormat="1" ht="30.75">
      <c r="A41" s="8"/>
      <c r="B41" s="15" t="s">
        <v>78</v>
      </c>
      <c r="C41" s="67">
        <v>22080401</v>
      </c>
      <c r="D41" s="36">
        <v>6900</v>
      </c>
      <c r="E41" s="36">
        <v>5220</v>
      </c>
      <c r="F41" s="143">
        <v>6785.09</v>
      </c>
      <c r="G41" s="43">
        <f>#N/A</f>
        <v>1565.0900000000001</v>
      </c>
      <c r="H41" s="35">
        <f>#N/A</f>
        <v>129.98256704980844</v>
      </c>
      <c r="I41" s="50">
        <f>#N/A</f>
        <v>-114.90999999999985</v>
      </c>
      <c r="J41" s="50">
        <f>#N/A</f>
        <v>98.33463768115942</v>
      </c>
      <c r="K41" s="50">
        <f>F41-5365.42</f>
        <v>1419.67</v>
      </c>
      <c r="L41" s="50">
        <f>F41/5365.42*100</f>
        <v>126.45962478240287</v>
      </c>
      <c r="M41" s="35">
        <f>E41-серпень!E41</f>
        <v>600</v>
      </c>
      <c r="N41" s="35">
        <f>F41-серпень!F41</f>
        <v>920.2399999999998</v>
      </c>
      <c r="O41" s="47">
        <f>#N/A</f>
        <v>320.2399999999998</v>
      </c>
      <c r="P41" s="50">
        <f>N41/M41*100</f>
        <v>153.3733333333333</v>
      </c>
      <c r="Q41" s="50">
        <f>N41-647.49</f>
        <v>272.7499999999998</v>
      </c>
      <c r="R41" s="126">
        <f>N41/647.49</f>
        <v>1.4212420269038901</v>
      </c>
    </row>
    <row r="42" spans="1:18" s="6" customFormat="1" ht="15">
      <c r="A42" s="8"/>
      <c r="B42" s="15" t="s">
        <v>80</v>
      </c>
      <c r="C42" s="59">
        <v>22090000</v>
      </c>
      <c r="D42" s="36">
        <f>1100+6000</f>
        <v>7100</v>
      </c>
      <c r="E42" s="36">
        <v>5799</v>
      </c>
      <c r="F42" s="143">
        <v>5721.95</v>
      </c>
      <c r="G42" s="43">
        <f>#N/A</f>
        <v>-77.05000000000018</v>
      </c>
      <c r="H42" s="35">
        <f>#N/A</f>
        <v>98.67132264183479</v>
      </c>
      <c r="I42" s="50">
        <f>#N/A</f>
        <v>-1378.0500000000002</v>
      </c>
      <c r="J42" s="50">
        <f>#N/A</f>
        <v>80.59084507042253</v>
      </c>
      <c r="K42" s="50">
        <f>F42-782.38</f>
        <v>4939.57</v>
      </c>
      <c r="L42" s="50">
        <f>F42/782.38*100</f>
        <v>731.3517727958281</v>
      </c>
      <c r="M42" s="35">
        <f>E42-серпень!E42</f>
        <v>604.3000000000002</v>
      </c>
      <c r="N42" s="35">
        <f>F42-серпень!F42</f>
        <v>500.5199999999995</v>
      </c>
      <c r="O42" s="47">
        <f>#N/A</f>
        <v>-103.78000000000065</v>
      </c>
      <c r="P42" s="50">
        <f>N42/M42*100</f>
        <v>82.82641072315064</v>
      </c>
      <c r="Q42" s="50">
        <f>N42-79.51</f>
        <v>421.00999999999954</v>
      </c>
      <c r="R42" s="126">
        <f>N42/79.51</f>
        <v>6.295057225506219</v>
      </c>
    </row>
    <row r="43" spans="1:18" s="6" customFormat="1" ht="15">
      <c r="A43" s="8"/>
      <c r="B43" s="69" t="s">
        <v>271</v>
      </c>
      <c r="C43" s="204">
        <v>22090100</v>
      </c>
      <c r="D43" s="135">
        <v>1100</v>
      </c>
      <c r="E43" s="135">
        <v>840</v>
      </c>
      <c r="F43" s="144">
        <v>801.84</v>
      </c>
      <c r="G43" s="135">
        <f>#N/A</f>
        <v>-38.15999999999997</v>
      </c>
      <c r="H43" s="137">
        <f>#N/A</f>
        <v>95.45714285714286</v>
      </c>
      <c r="I43" s="136">
        <f>#N/A</f>
        <v>-298.15999999999997</v>
      </c>
      <c r="J43" s="136">
        <f>#N/A</f>
        <v>72.89454545454545</v>
      </c>
      <c r="K43" s="136">
        <f>F43-687.25</f>
        <v>114.59000000000003</v>
      </c>
      <c r="L43" s="136">
        <f>F43/687.25*100</f>
        <v>116.67369952710077</v>
      </c>
      <c r="M43" s="35">
        <f>E43-серпень!E43</f>
        <v>80</v>
      </c>
      <c r="N43" s="35">
        <f>F43-серпень!F43</f>
        <v>66.71000000000004</v>
      </c>
      <c r="O43" s="138"/>
      <c r="P43" s="50"/>
      <c r="Q43" s="50"/>
      <c r="R43" s="126"/>
    </row>
    <row r="44" spans="1:18" s="6" customFormat="1" ht="15">
      <c r="A44" s="8"/>
      <c r="B44" s="69" t="s">
        <v>268</v>
      </c>
      <c r="C44" s="204">
        <v>22090200</v>
      </c>
      <c r="D44" s="135">
        <v>80</v>
      </c>
      <c r="E44" s="135">
        <v>60</v>
      </c>
      <c r="F44" s="144">
        <v>44.07</v>
      </c>
      <c r="G44" s="135">
        <f>#N/A</f>
        <v>-15.93</v>
      </c>
      <c r="H44" s="137">
        <f>#N/A</f>
        <v>73.45</v>
      </c>
      <c r="I44" s="136">
        <f>#N/A</f>
        <v>-35.93</v>
      </c>
      <c r="J44" s="136"/>
      <c r="K44" s="136">
        <f>F44-0</f>
        <v>44.07</v>
      </c>
      <c r="L44" s="136"/>
      <c r="M44" s="35">
        <f>E44-серпень!E44</f>
        <v>10</v>
      </c>
      <c r="N44" s="35">
        <f>F44-серпень!F44</f>
        <v>-1.3800000000000026</v>
      </c>
      <c r="O44" s="138"/>
      <c r="P44" s="50"/>
      <c r="Q44" s="50"/>
      <c r="R44" s="126"/>
    </row>
    <row r="45" spans="1:18" s="6" customFormat="1" ht="15">
      <c r="A45" s="8"/>
      <c r="B45" s="69" t="s">
        <v>269</v>
      </c>
      <c r="C45" s="204">
        <v>22090300</v>
      </c>
      <c r="D45" s="135">
        <v>2</v>
      </c>
      <c r="E45" s="135">
        <v>1</v>
      </c>
      <c r="F45" s="144">
        <v>0.75</v>
      </c>
      <c r="G45" s="135">
        <f>#N/A</f>
        <v>-0.25</v>
      </c>
      <c r="H45" s="137">
        <f>#N/A</f>
        <v>75</v>
      </c>
      <c r="I45" s="136">
        <f>#N/A</f>
        <v>-1.25</v>
      </c>
      <c r="J45" s="136"/>
      <c r="K45" s="136">
        <f>F45-0</f>
        <v>0.75</v>
      </c>
      <c r="L45" s="136"/>
      <c r="M45" s="35">
        <f>E45-серпень!E45</f>
        <v>0.30000000000000004</v>
      </c>
      <c r="N45" s="35">
        <f>F45-серпень!F45</f>
        <v>0</v>
      </c>
      <c r="O45" s="138"/>
      <c r="P45" s="50"/>
      <c r="Q45" s="50"/>
      <c r="R45" s="126"/>
    </row>
    <row r="46" spans="1:18" s="6" customFormat="1" ht="15">
      <c r="A46" s="8"/>
      <c r="B46" s="69" t="s">
        <v>270</v>
      </c>
      <c r="C46" s="204">
        <v>22090400</v>
      </c>
      <c r="D46" s="135">
        <v>5918</v>
      </c>
      <c r="E46" s="135">
        <v>4898</v>
      </c>
      <c r="F46" s="144">
        <v>4875.29</v>
      </c>
      <c r="G46" s="135">
        <f>#N/A</f>
        <v>-22.710000000000036</v>
      </c>
      <c r="H46" s="137">
        <f>#N/A</f>
        <v>99.53634136382196</v>
      </c>
      <c r="I46" s="136">
        <f>#N/A</f>
        <v>-1042.71</v>
      </c>
      <c r="J46" s="136">
        <f>#N/A</f>
        <v>82.38070294018249</v>
      </c>
      <c r="K46" s="136">
        <f>F46-95.13</f>
        <v>4780.16</v>
      </c>
      <c r="L46" s="136">
        <f>F46/95.13*100</f>
        <v>5124.87122884474</v>
      </c>
      <c r="M46" s="35">
        <f>E46-серпень!E46</f>
        <v>514</v>
      </c>
      <c r="N46" s="35">
        <f>F46-серпень!F46</f>
        <v>435.1800000000003</v>
      </c>
      <c r="O46" s="138"/>
      <c r="P46" s="50"/>
      <c r="Q46" s="50"/>
      <c r="R46" s="126"/>
    </row>
    <row r="47" spans="1:18" s="6" customFormat="1" ht="46.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>#N/A</f>
        <v>3.89</v>
      </c>
      <c r="H47" s="35"/>
      <c r="I47" s="50">
        <f>#N/A</f>
        <v>-3.7099999999999995</v>
      </c>
      <c r="J47" s="50"/>
      <c r="K47" s="50">
        <f>F47-0.53</f>
        <v>3.3600000000000003</v>
      </c>
      <c r="L47" s="50"/>
      <c r="M47" s="35">
        <f>E47-серпень!E47</f>
        <v>0</v>
      </c>
      <c r="N47" s="35">
        <f>F47-серпень!F47</f>
        <v>3.89</v>
      </c>
      <c r="O47" s="47">
        <f>#N/A</f>
        <v>3.89</v>
      </c>
      <c r="P47" s="50"/>
      <c r="Q47" s="50">
        <f>N47-0</f>
        <v>3.89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3090</v>
      </c>
      <c r="F48" s="143">
        <v>3571.45</v>
      </c>
      <c r="G48" s="43">
        <f>#N/A</f>
        <v>481.4499999999998</v>
      </c>
      <c r="H48" s="35">
        <f>F48/E48*100</f>
        <v>115.58090614886731</v>
      </c>
      <c r="I48" s="50">
        <f>#N/A</f>
        <v>-628.5500000000002</v>
      </c>
      <c r="J48" s="50">
        <f>F48/D48*100</f>
        <v>85.0345238095238</v>
      </c>
      <c r="K48" s="50">
        <f>F48-3093.83</f>
        <v>477.6199999999999</v>
      </c>
      <c r="L48" s="50">
        <f>F48/3093.83*100</f>
        <v>115.43782302195014</v>
      </c>
      <c r="M48" s="35">
        <f>E48-серпень!E48</f>
        <v>390</v>
      </c>
      <c r="N48" s="35">
        <f>F48-серпень!F48</f>
        <v>378.7999999999997</v>
      </c>
      <c r="O48" s="47">
        <f>#N/A</f>
        <v>-11.200000000000273</v>
      </c>
      <c r="P48" s="50">
        <f>#N/A</f>
        <v>97.12820512820505</v>
      </c>
      <c r="Q48" s="50">
        <f>N48-277.38</f>
        <v>101.41999999999973</v>
      </c>
      <c r="R48" s="126">
        <f>N48/277.38</f>
        <v>1.3656355901651154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>#N/A</f>
        <v>0</v>
      </c>
      <c r="H49" s="35" t="e">
        <f>F49/E49*100</f>
        <v>#DIV/0!</v>
      </c>
      <c r="I49" s="50">
        <f>#N/A</f>
        <v>0</v>
      </c>
      <c r="J49" s="50" t="e">
        <f>F49/D49*100</f>
        <v>#DIV/0!</v>
      </c>
      <c r="K49" s="50"/>
      <c r="L49" s="50">
        <f>F49</f>
        <v>0</v>
      </c>
      <c r="M49" s="35">
        <f>E49-серпень!E49</f>
        <v>0</v>
      </c>
      <c r="N49" s="35">
        <f>F49-серпень!F49</f>
        <v>0</v>
      </c>
      <c r="O49" s="47">
        <f>#N/A</f>
        <v>0</v>
      </c>
      <c r="P49" s="50" t="e">
        <f>#N/A</f>
        <v>#DIV/0!</v>
      </c>
      <c r="Q49" s="50"/>
      <c r="R49" s="126">
        <f>N49/277.38</f>
        <v>0</v>
      </c>
    </row>
    <row r="50" spans="1:18" s="6" customFormat="1" ht="1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>#N/A</f>
        <v>0</v>
      </c>
      <c r="H50" s="35" t="e">
        <f>F50/E50*100</f>
        <v>#DIV/0!</v>
      </c>
      <c r="I50" s="50">
        <f>#N/A</f>
        <v>0</v>
      </c>
      <c r="J50" s="50" t="e">
        <f>F50/D50*100</f>
        <v>#DIV/0!</v>
      </c>
      <c r="K50" s="50"/>
      <c r="L50" s="50">
        <f>F50</f>
        <v>0</v>
      </c>
      <c r="M50" s="35">
        <f>E50-серпень!E50</f>
        <v>0</v>
      </c>
      <c r="N50" s="35">
        <f>F50-серпень!F50</f>
        <v>0</v>
      </c>
      <c r="O50" s="47">
        <f>#N/A</f>
        <v>0</v>
      </c>
      <c r="P50" s="50" t="e">
        <f>#N/A</f>
        <v>#DIV/0!</v>
      </c>
      <c r="Q50" s="50"/>
      <c r="R50" s="126">
        <f>N50/277.38</f>
        <v>0</v>
      </c>
    </row>
    <row r="51" spans="1:18" s="6" customFormat="1" ht="30.75">
      <c r="A51" s="8"/>
      <c r="B51" s="69" t="s">
        <v>127</v>
      </c>
      <c r="C51" s="83"/>
      <c r="D51" s="135"/>
      <c r="E51" s="135"/>
      <c r="F51" s="144">
        <v>979.2</v>
      </c>
      <c r="G51" s="135">
        <f>#N/A</f>
        <v>979.2</v>
      </c>
      <c r="H51" s="137"/>
      <c r="I51" s="136">
        <f>#N/A</f>
        <v>979.2</v>
      </c>
      <c r="J51" s="136"/>
      <c r="K51" s="219">
        <f>F51-758.38</f>
        <v>220.82000000000005</v>
      </c>
      <c r="L51" s="219">
        <f>F51/758.38*100</f>
        <v>129.11732904348744</v>
      </c>
      <c r="M51" s="35">
        <f>E51-серпень!E51</f>
        <v>0</v>
      </c>
      <c r="N51" s="35">
        <f>F51-серпень!F51</f>
        <v>88.70000000000005</v>
      </c>
      <c r="O51" s="138">
        <f>#N/A</f>
        <v>88.70000000000005</v>
      </c>
      <c r="P51" s="136"/>
      <c r="Q51" s="50">
        <f>N51-64.93</f>
        <v>23.77000000000004</v>
      </c>
      <c r="R51" s="126">
        <f>N51/64.93</f>
        <v>1.366086554751271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/>
      <c r="I52" s="50">
        <f>#N/A</f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E52-серпень!E52</f>
        <v>0</v>
      </c>
      <c r="N52" s="35">
        <f>F52-серпень!F52</f>
        <v>19.45</v>
      </c>
      <c r="O52" s="47">
        <f>#N/A</f>
        <v>19.45</v>
      </c>
      <c r="P52" s="50"/>
      <c r="Q52" s="50"/>
      <c r="R52" s="126"/>
    </row>
    <row r="53" spans="1:18" s="6" customFormat="1" ht="30.75">
      <c r="A53" s="8"/>
      <c r="B53" s="14" t="s">
        <v>129</v>
      </c>
      <c r="C53" s="59">
        <v>31010200</v>
      </c>
      <c r="D53" s="36">
        <v>26.5</v>
      </c>
      <c r="E53" s="36">
        <v>19.4</v>
      </c>
      <c r="F53" s="143">
        <v>14.42</v>
      </c>
      <c r="G53" s="43">
        <f>#N/A</f>
        <v>-4.979999999999999</v>
      </c>
      <c r="H53" s="35">
        <f>F53/E53*100</f>
        <v>74.3298969072165</v>
      </c>
      <c r="I53" s="50">
        <f>#N/A</f>
        <v>-12.08</v>
      </c>
      <c r="J53" s="50">
        <f>F53/D53*100</f>
        <v>54.41509433962264</v>
      </c>
      <c r="K53" s="50">
        <f>F53-19.9</f>
        <v>-5.479999999999999</v>
      </c>
      <c r="L53" s="50">
        <f>F53/19.9*100</f>
        <v>72.46231155778895</v>
      </c>
      <c r="M53" s="35">
        <f>E53-серпень!E53</f>
        <v>2.1999999999999993</v>
      </c>
      <c r="N53" s="35">
        <f>F53-серпень!F53</f>
        <v>0</v>
      </c>
      <c r="O53" s="47">
        <f>#N/A</f>
        <v>-2.1999999999999993</v>
      </c>
      <c r="P53" s="50">
        <f>#N/A</f>
        <v>0</v>
      </c>
      <c r="Q53" s="50"/>
      <c r="R53" s="126"/>
    </row>
    <row r="54" spans="1:18" s="6" customFormat="1" ht="30.7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>#N/A</f>
        <v>0.31</v>
      </c>
      <c r="H54" s="35"/>
      <c r="I54" s="50">
        <f>#N/A</f>
        <v>0.31</v>
      </c>
      <c r="J54" s="50"/>
      <c r="K54" s="50">
        <f>F54-0.37</f>
        <v>-0.06</v>
      </c>
      <c r="L54" s="50"/>
      <c r="M54" s="35">
        <f>E54-серпень!E54</f>
        <v>0</v>
      </c>
      <c r="N54" s="35">
        <f>F54-серпень!F54</f>
        <v>0</v>
      </c>
      <c r="O54" s="47">
        <f>#N/A</f>
        <v>0</v>
      </c>
      <c r="P54" s="50"/>
      <c r="Q54" s="50"/>
      <c r="R54" s="126"/>
    </row>
    <row r="55" spans="1:22" s="6" customFormat="1" ht="17.25">
      <c r="A55" s="9"/>
      <c r="B55" s="17" t="s">
        <v>109</v>
      </c>
      <c r="C55" s="84"/>
      <c r="D55" s="18">
        <f>D8+D33+D53+D54</f>
        <v>607955.07</v>
      </c>
      <c r="E55" s="18">
        <f>E8+E33+E53+E54</f>
        <v>485421.9</v>
      </c>
      <c r="F55" s="18">
        <f>F8+F33+F53+F54</f>
        <v>509138.61</v>
      </c>
      <c r="G55" s="44">
        <f>F55-E55</f>
        <v>23716.709999999963</v>
      </c>
      <c r="H55" s="45">
        <f>F55/E55*100</f>
        <v>104.88579316260763</v>
      </c>
      <c r="I55" s="31">
        <f>F55-D55</f>
        <v>-98816.45999999996</v>
      </c>
      <c r="J55" s="31">
        <f>F55/D55*100</f>
        <v>83.74609163140954</v>
      </c>
      <c r="K55" s="31">
        <f>K8+K33+K53+K54</f>
        <v>140375.80599999995</v>
      </c>
      <c r="L55" s="31">
        <f>F55/(F55-K55)*100</f>
        <v>138.06669340761383</v>
      </c>
      <c r="M55" s="18">
        <f>M8+M33+M53+M54</f>
        <v>52238.399999999994</v>
      </c>
      <c r="N55" s="18">
        <f>N8+N33+N53+N54</f>
        <v>58004.41999999998</v>
      </c>
      <c r="O55" s="49">
        <f>N55-M55</f>
        <v>5766.019999999982</v>
      </c>
      <c r="P55" s="31">
        <f>N55/M55*100</f>
        <v>111.0378954945021</v>
      </c>
      <c r="Q55" s="31">
        <f>N55-34768</f>
        <v>23236.419999999976</v>
      </c>
      <c r="R55" s="171">
        <f>N55/34768</f>
        <v>1.6683277726645185</v>
      </c>
      <c r="S55" s="172"/>
      <c r="T55" s="166"/>
      <c r="U55" s="175"/>
      <c r="V55" s="175"/>
    </row>
    <row r="56" spans="1:18" s="66" customFormat="1" ht="17.2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7.2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7.2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F60-серпень!F60</f>
        <v>0</v>
      </c>
      <c r="O60" s="47"/>
      <c r="P60" s="53"/>
      <c r="Q60" s="53"/>
      <c r="R60" s="129"/>
    </row>
    <row r="61" spans="2:18" ht="30.75">
      <c r="B61" s="26" t="s">
        <v>170</v>
      </c>
      <c r="C61" s="97">
        <v>18041500</v>
      </c>
      <c r="D61" s="28">
        <v>0</v>
      </c>
      <c r="E61" s="28">
        <v>0</v>
      </c>
      <c r="F61" s="146">
        <v>-51.7</v>
      </c>
      <c r="G61" s="43">
        <f>#N/A</f>
        <v>-51.7</v>
      </c>
      <c r="H61" s="35"/>
      <c r="I61" s="53">
        <f>#N/A</f>
        <v>-51.7</v>
      </c>
      <c r="J61" s="53"/>
      <c r="K61" s="47">
        <f>F61-237.16</f>
        <v>-288.86</v>
      </c>
      <c r="L61" s="53"/>
      <c r="M61" s="35">
        <v>0</v>
      </c>
      <c r="N61" s="36">
        <f>F61-серпень!F61</f>
        <v>-2.510000000000005</v>
      </c>
      <c r="O61" s="47">
        <f>#N/A</f>
        <v>-2.510000000000005</v>
      </c>
      <c r="P61" s="53"/>
      <c r="Q61" s="53">
        <f>N61-24.53</f>
        <v>-27.040000000000006</v>
      </c>
      <c r="R61" s="129">
        <f>N61/24.53</f>
        <v>-0.10232368528332675</v>
      </c>
    </row>
    <row r="62" spans="2:18" ht="1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-51.7</v>
      </c>
      <c r="G62" s="55">
        <f>#N/A</f>
        <v>-51.7</v>
      </c>
      <c r="H62" s="65"/>
      <c r="I62" s="54">
        <f>#N/A</f>
        <v>-51.7</v>
      </c>
      <c r="J62" s="54"/>
      <c r="K62" s="54">
        <f>K60+K61</f>
        <v>-288.86</v>
      </c>
      <c r="L62" s="54"/>
      <c r="M62" s="55">
        <f>M61</f>
        <v>0</v>
      </c>
      <c r="N62" s="33">
        <f>SUM(N60:N61)</f>
        <v>-2.510000000000005</v>
      </c>
      <c r="O62" s="54">
        <f>#N/A</f>
        <v>-2.510000000000005</v>
      </c>
      <c r="P62" s="54"/>
      <c r="Q62" s="54">
        <f>N62-92.85</f>
        <v>-95.36</v>
      </c>
      <c r="R62" s="130">
        <f>N62/92.85</f>
        <v>-0.0270328486806678</v>
      </c>
    </row>
    <row r="63" spans="2:18" ht="46.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>#N/A</f>
        <v>0</v>
      </c>
      <c r="H63" s="35" t="e">
        <f>F63/E63*100</f>
        <v>#DIV/0!</v>
      </c>
      <c r="I63" s="53">
        <f>#N/A</f>
        <v>0</v>
      </c>
      <c r="J63" s="53" t="e">
        <f>#N/A</f>
        <v>#DIV/0!</v>
      </c>
      <c r="K63" s="53"/>
      <c r="L63" s="53"/>
      <c r="M63" s="36">
        <v>0</v>
      </c>
      <c r="N63" s="36">
        <f>F63</f>
        <v>0</v>
      </c>
      <c r="O63" s="47">
        <f>#N/A</f>
        <v>0</v>
      </c>
      <c r="P63" s="53"/>
      <c r="Q63" s="53"/>
      <c r="R63" s="129"/>
    </row>
    <row r="64" spans="2:18" ht="30.75">
      <c r="B64" s="26" t="s">
        <v>111</v>
      </c>
      <c r="C64" s="97">
        <v>31030000</v>
      </c>
      <c r="D64" s="28">
        <v>2500</v>
      </c>
      <c r="E64" s="28">
        <v>1600</v>
      </c>
      <c r="F64" s="146">
        <v>593.1</v>
      </c>
      <c r="G64" s="43">
        <f>#N/A</f>
        <v>-1006.9</v>
      </c>
      <c r="H64" s="35"/>
      <c r="I64" s="53">
        <f>#N/A</f>
        <v>-1906.9</v>
      </c>
      <c r="J64" s="53">
        <f>#N/A</f>
        <v>23.724</v>
      </c>
      <c r="K64" s="53">
        <f>F64-1754.73</f>
        <v>-1161.63</v>
      </c>
      <c r="L64" s="53">
        <f>F64/1754.73*100</f>
        <v>33.800071805918854</v>
      </c>
      <c r="M64" s="35">
        <f>E64-серпень!E64</f>
        <v>600</v>
      </c>
      <c r="N64" s="35">
        <f>F64-серпень!F64</f>
        <v>0.08000000000004093</v>
      </c>
      <c r="O64" s="47">
        <f>#N/A</f>
        <v>-599.92</v>
      </c>
      <c r="P64" s="53"/>
      <c r="Q64" s="53">
        <f>N64-0.04</f>
        <v>0.040000000000040926</v>
      </c>
      <c r="R64" s="129">
        <f>N64/0.04</f>
        <v>2.000000000001023</v>
      </c>
    </row>
    <row r="65" spans="2:18" ht="15">
      <c r="B65" s="26" t="s">
        <v>112</v>
      </c>
      <c r="C65" s="97">
        <v>33010000</v>
      </c>
      <c r="D65" s="28">
        <v>11576</v>
      </c>
      <c r="E65" s="28">
        <v>5462.16</v>
      </c>
      <c r="F65" s="146">
        <v>3987.63</v>
      </c>
      <c r="G65" s="43">
        <f>#N/A</f>
        <v>-1474.5299999999997</v>
      </c>
      <c r="H65" s="35">
        <f>F65/E65*100</f>
        <v>73.0046355288018</v>
      </c>
      <c r="I65" s="53">
        <f>#N/A</f>
        <v>-7588.37</v>
      </c>
      <c r="J65" s="53">
        <f>#N/A</f>
        <v>34.447391154111955</v>
      </c>
      <c r="K65" s="53">
        <f>F65-2393.24</f>
        <v>1594.3900000000003</v>
      </c>
      <c r="L65" s="53">
        <f>F65/2393.24*100</f>
        <v>166.6205645902626</v>
      </c>
      <c r="M65" s="35">
        <f>E65-серпень!E65</f>
        <v>728.7200000000003</v>
      </c>
      <c r="N65" s="35">
        <f>F65-серпень!F65</f>
        <v>228.99000000000024</v>
      </c>
      <c r="O65" s="47">
        <f>#N/A</f>
        <v>-499.73</v>
      </c>
      <c r="P65" s="53">
        <f>N65/M65*100</f>
        <v>31.423592051816907</v>
      </c>
      <c r="Q65" s="53">
        <f>N65-450.01</f>
        <v>-221.01999999999975</v>
      </c>
      <c r="R65" s="129">
        <f>N65/450.01</f>
        <v>0.5088553587698057</v>
      </c>
    </row>
    <row r="66" spans="2:18" ht="30.75">
      <c r="B66" s="26" t="s">
        <v>156</v>
      </c>
      <c r="C66" s="97">
        <v>24170000</v>
      </c>
      <c r="D66" s="28">
        <v>3000</v>
      </c>
      <c r="E66" s="28">
        <v>1184.8</v>
      </c>
      <c r="F66" s="146">
        <v>1859.08</v>
      </c>
      <c r="G66" s="43">
        <f>#N/A</f>
        <v>674.28</v>
      </c>
      <c r="H66" s="35">
        <f>F66/E66*100</f>
        <v>156.91087103308575</v>
      </c>
      <c r="I66" s="53">
        <f>#N/A</f>
        <v>-1140.92</v>
      </c>
      <c r="J66" s="53">
        <f>#N/A</f>
        <v>61.96933333333333</v>
      </c>
      <c r="K66" s="53">
        <f>F66-1074.91</f>
        <v>784.1699999999998</v>
      </c>
      <c r="L66" s="53">
        <f>F66/1074.91*100</f>
        <v>172.95215413383445</v>
      </c>
      <c r="M66" s="35">
        <f>E66-серпень!E66</f>
        <v>148.0999999999999</v>
      </c>
      <c r="N66" s="35">
        <f>F66-серпень!F66</f>
        <v>20.439999999999827</v>
      </c>
      <c r="O66" s="47">
        <f>#N/A</f>
        <v>-127.66000000000008</v>
      </c>
      <c r="P66" s="53">
        <f>N66/M66*100</f>
        <v>13.801485482781795</v>
      </c>
      <c r="Q66" s="53">
        <f>N66-1.05</f>
        <v>19.389999999999826</v>
      </c>
      <c r="R66" s="129">
        <f>N66/1.05</f>
        <v>19.4666666666665</v>
      </c>
    </row>
    <row r="67" spans="2:19" ht="33">
      <c r="B67" s="32" t="s">
        <v>144</v>
      </c>
      <c r="C67" s="87"/>
      <c r="D67" s="33">
        <f>D64+D65+D66</f>
        <v>17076</v>
      </c>
      <c r="E67" s="33">
        <f>E64+E65+E66</f>
        <v>8246.96</v>
      </c>
      <c r="F67" s="145">
        <f>F64+F65+F66</f>
        <v>6439.81</v>
      </c>
      <c r="G67" s="55">
        <f>#N/A</f>
        <v>-1807.1499999999987</v>
      </c>
      <c r="H67" s="65">
        <f>F67/E67*100</f>
        <v>78.08707693501606</v>
      </c>
      <c r="I67" s="54">
        <f>#N/A</f>
        <v>-10636.189999999999</v>
      </c>
      <c r="J67" s="54">
        <f>#N/A</f>
        <v>37.71263762005154</v>
      </c>
      <c r="K67" s="54">
        <f>K64+K65+K66</f>
        <v>1216.93</v>
      </c>
      <c r="L67" s="54"/>
      <c r="M67" s="55">
        <f>M64+M65+M66</f>
        <v>1476.8200000000002</v>
      </c>
      <c r="N67" s="55">
        <f>N64+N65+N66</f>
        <v>249.5100000000001</v>
      </c>
      <c r="O67" s="54">
        <f>#N/A</f>
        <v>-1227.31</v>
      </c>
      <c r="P67" s="54">
        <f>N67/M67*100</f>
        <v>16.895085386167583</v>
      </c>
      <c r="Q67" s="54">
        <f>N67-7985.28</f>
        <v>-7735.7699999999995</v>
      </c>
      <c r="R67" s="173">
        <f>N67/7985.28</f>
        <v>0.03124624308728061</v>
      </c>
      <c r="S67" s="174"/>
    </row>
    <row r="68" spans="2:18" ht="46.5">
      <c r="B68" s="14" t="s">
        <v>124</v>
      </c>
      <c r="C68" s="100">
        <v>24062100</v>
      </c>
      <c r="D68" s="28">
        <v>35</v>
      </c>
      <c r="E68" s="28">
        <v>25</v>
      </c>
      <c r="F68" s="146">
        <v>0.35</v>
      </c>
      <c r="G68" s="43">
        <f>#N/A</f>
        <v>-24.65</v>
      </c>
      <c r="H68" s="35"/>
      <c r="I68" s="53">
        <f>#N/A</f>
        <v>-34.65</v>
      </c>
      <c r="J68" s="53">
        <f>#N/A</f>
        <v>1</v>
      </c>
      <c r="K68" s="53">
        <f>F68-24.17</f>
        <v>-23.82</v>
      </c>
      <c r="L68" s="53">
        <f>F68/24.17*100</f>
        <v>1.448076127430699</v>
      </c>
      <c r="M68" s="35">
        <f>E68-серпень!E68</f>
        <v>10</v>
      </c>
      <c r="N68" s="35">
        <f>F68-серпень!F68</f>
        <v>0.16999999999999998</v>
      </c>
      <c r="O68" s="47">
        <f>#N/A</f>
        <v>-9.83</v>
      </c>
      <c r="P68" s="53"/>
      <c r="Q68" s="53">
        <f>N68-0.16</f>
        <v>0.009999999999999981</v>
      </c>
      <c r="R68" s="129">
        <f>N68/0.16</f>
        <v>1.0624999999999998</v>
      </c>
    </row>
    <row r="69" spans="2:18" ht="1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E69-серпень!E69</f>
        <v>0</v>
      </c>
      <c r="N69" s="35">
        <f>F69-серпень!F69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0.75">
      <c r="B70" s="26" t="s">
        <v>140</v>
      </c>
      <c r="C70" s="97">
        <v>19050000</v>
      </c>
      <c r="D70" s="28">
        <v>0</v>
      </c>
      <c r="E70" s="28">
        <v>0</v>
      </c>
      <c r="F70" s="146">
        <v>1</v>
      </c>
      <c r="G70" s="43">
        <f>F70-E70</f>
        <v>1</v>
      </c>
      <c r="H70" s="35"/>
      <c r="I70" s="53">
        <f>F70-D70</f>
        <v>1</v>
      </c>
      <c r="J70" s="53"/>
      <c r="K70" s="53">
        <f>F70-1.08</f>
        <v>-0.08000000000000007</v>
      </c>
      <c r="L70" s="53">
        <f>F70/1.08*100</f>
        <v>92.59259259259258</v>
      </c>
      <c r="M70" s="35">
        <f>E70-серпень!E70</f>
        <v>0</v>
      </c>
      <c r="N70" s="35">
        <f>F70-серпень!F70</f>
        <v>0.12</v>
      </c>
      <c r="O70" s="47">
        <f>N70-M70</f>
        <v>0.12</v>
      </c>
      <c r="P70" s="53"/>
      <c r="Q70" s="53">
        <f>N70-(-0.21)</f>
        <v>0.32999999999999996</v>
      </c>
      <c r="R70" s="129"/>
    </row>
    <row r="71" spans="2:18" ht="30">
      <c r="B71" s="32" t="s">
        <v>134</v>
      </c>
      <c r="C71" s="97"/>
      <c r="D71" s="33">
        <f>D68+D70+D69</f>
        <v>54</v>
      </c>
      <c r="E71" s="33">
        <f>E68+E70+E69</f>
        <v>37</v>
      </c>
      <c r="F71" s="145">
        <f>F68+F70+F69</f>
        <v>1.35</v>
      </c>
      <c r="G71" s="55">
        <f>F71-E71</f>
        <v>-35.65</v>
      </c>
      <c r="H71" s="65"/>
      <c r="I71" s="54">
        <f>F71-D71</f>
        <v>-52.65</v>
      </c>
      <c r="J71" s="54">
        <f>F71/D71*100</f>
        <v>2.5</v>
      </c>
      <c r="K71" s="54">
        <f>K68+K69+K70</f>
        <v>-43.379999999999995</v>
      </c>
      <c r="L71" s="54"/>
      <c r="M71" s="55">
        <f>M68+M70+M69</f>
        <v>10</v>
      </c>
      <c r="N71" s="55">
        <f>N68+N70+N69</f>
        <v>0.29</v>
      </c>
      <c r="O71" s="54">
        <f>N71-M71</f>
        <v>-9.71</v>
      </c>
      <c r="P71" s="54"/>
      <c r="Q71" s="54">
        <f>N71-26.38</f>
        <v>-26.09</v>
      </c>
      <c r="R71" s="128">
        <f>N71/26.38</f>
        <v>0.010993176648976496</v>
      </c>
    </row>
    <row r="72" spans="2:18" ht="30.75">
      <c r="B72" s="14" t="s">
        <v>125</v>
      </c>
      <c r="C72" s="59">
        <v>24110900</v>
      </c>
      <c r="D72" s="28">
        <v>42</v>
      </c>
      <c r="E72" s="28">
        <v>32.22</v>
      </c>
      <c r="F72" s="146">
        <v>29.22</v>
      </c>
      <c r="G72" s="43">
        <f>F72-E72</f>
        <v>-3</v>
      </c>
      <c r="H72" s="35">
        <f>F72/E72*100</f>
        <v>90.68901303538175</v>
      </c>
      <c r="I72" s="53">
        <f>F72-D72</f>
        <v>-12.780000000000001</v>
      </c>
      <c r="J72" s="53">
        <f>F72/D72*100</f>
        <v>69.57142857142857</v>
      </c>
      <c r="K72" s="53">
        <f>F72-31.86</f>
        <v>-2.6400000000000006</v>
      </c>
      <c r="L72" s="53">
        <f>F72/31.86*100</f>
        <v>91.71374764595103</v>
      </c>
      <c r="M72" s="35">
        <f>E72-серпень!E72</f>
        <v>9</v>
      </c>
      <c r="N72" s="35">
        <f>F72-серпень!F72</f>
        <v>8.16</v>
      </c>
      <c r="O72" s="47">
        <f>N72-M72</f>
        <v>-0.8399999999999999</v>
      </c>
      <c r="P72" s="53">
        <f>N72/M72*100</f>
        <v>90.66666666666667</v>
      </c>
      <c r="Q72" s="53">
        <f>N72-0.45</f>
        <v>7.71</v>
      </c>
      <c r="R72" s="129">
        <f>N72/0.45</f>
        <v>18.133333333333333</v>
      </c>
    </row>
    <row r="73" spans="2:18" ht="1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8316.179999999998</v>
      </c>
      <c r="F74" s="27">
        <f>F62+F72+F67+F71+F73</f>
        <v>6418.880000000001</v>
      </c>
      <c r="G74" s="44">
        <f>F74-E74</f>
        <v>-1897.2999999999975</v>
      </c>
      <c r="H74" s="45">
        <f>F74/E74*100</f>
        <v>77.18543850662206</v>
      </c>
      <c r="I74" s="31">
        <f>F74-D74</f>
        <v>-10753.119999999999</v>
      </c>
      <c r="J74" s="31">
        <f>F74/D74*100</f>
        <v>37.37992080130446</v>
      </c>
      <c r="K74" s="31">
        <f>K62+K67+K71+K72</f>
        <v>882.0500000000001</v>
      </c>
      <c r="L74" s="31"/>
      <c r="M74" s="27">
        <f>M62+M72+M67+M71</f>
        <v>1495.8200000000002</v>
      </c>
      <c r="N74" s="27">
        <f>N62+N72+N67+N71+N73</f>
        <v>255.4500000000001</v>
      </c>
      <c r="O74" s="31">
        <f>N74-M74</f>
        <v>-1240.3700000000001</v>
      </c>
      <c r="P74" s="31">
        <f>N74/M74*100</f>
        <v>17.077589549544737</v>
      </c>
      <c r="Q74" s="31">
        <f>N74-8104.96</f>
        <v>-7849.51</v>
      </c>
      <c r="R74" s="127">
        <f>N74/8104.96</f>
        <v>0.031517737286797236</v>
      </c>
    </row>
    <row r="75" spans="2:18" ht="17.25">
      <c r="B75" s="24" t="s">
        <v>115</v>
      </c>
      <c r="C75" s="88"/>
      <c r="D75" s="27">
        <f>D55+D74</f>
        <v>625127.07</v>
      </c>
      <c r="E75" s="27">
        <f>E55+E74</f>
        <v>493738.08</v>
      </c>
      <c r="F75" s="27">
        <f>F55+F74</f>
        <v>515557.49</v>
      </c>
      <c r="G75" s="44">
        <f>F75-E75</f>
        <v>21819.409999999974</v>
      </c>
      <c r="H75" s="45">
        <f>F75/E75*100</f>
        <v>104.41922770064647</v>
      </c>
      <c r="I75" s="31">
        <f>F75-D75</f>
        <v>-109569.57999999996</v>
      </c>
      <c r="J75" s="31">
        <f>F75/D75*100</f>
        <v>82.47243076515628</v>
      </c>
      <c r="K75" s="31">
        <f>K55+K74</f>
        <v>141257.85599999994</v>
      </c>
      <c r="L75" s="31">
        <f>F75/(F75-K75)*100</f>
        <v>137.73924502421497</v>
      </c>
      <c r="M75" s="18">
        <f>M55+M74</f>
        <v>53734.219999999994</v>
      </c>
      <c r="N75" s="18">
        <f>N55+N74</f>
        <v>58259.86999999997</v>
      </c>
      <c r="O75" s="31">
        <f>N75-M75</f>
        <v>4525.64999999998</v>
      </c>
      <c r="P75" s="31">
        <f>N75/M75*100</f>
        <v>108.42228658013455</v>
      </c>
      <c r="Q75" s="31">
        <f>N75-42872.96</f>
        <v>15386.909999999974</v>
      </c>
      <c r="R75" s="127">
        <f>N75/42872.96</f>
        <v>1.3588954436549279</v>
      </c>
    </row>
    <row r="76" spans="2:14" ht="15">
      <c r="B76" s="23" t="s">
        <v>117</v>
      </c>
      <c r="N76" s="29"/>
    </row>
    <row r="77" spans="2:4" ht="15">
      <c r="B77" s="4" t="s">
        <v>119</v>
      </c>
      <c r="C77" s="101">
        <v>0</v>
      </c>
      <c r="D77" s="4" t="s">
        <v>118</v>
      </c>
    </row>
    <row r="78" spans="2:17" ht="30.75">
      <c r="B78" s="71" t="s">
        <v>154</v>
      </c>
      <c r="C78" s="34">
        <f>IF(O55&lt;0,ABS(O55/C77),0)</f>
        <v>0</v>
      </c>
      <c r="D78" s="4" t="s">
        <v>104</v>
      </c>
      <c r="G78" s="266"/>
      <c r="H78" s="266"/>
      <c r="I78" s="266"/>
      <c r="J78" s="266"/>
      <c r="K78" s="115"/>
      <c r="L78" s="115"/>
      <c r="P78" s="29"/>
      <c r="Q78" s="29"/>
    </row>
    <row r="79" spans="2:15" ht="34.5" customHeight="1">
      <c r="B79" s="72" t="s">
        <v>159</v>
      </c>
      <c r="C79" s="111">
        <v>42277</v>
      </c>
      <c r="D79" s="34">
        <v>6512.6</v>
      </c>
      <c r="G79" s="4" t="s">
        <v>166</v>
      </c>
      <c r="N79" s="263"/>
      <c r="O79" s="263"/>
    </row>
    <row r="80" spans="3:15" ht="15">
      <c r="C80" s="111">
        <v>42276</v>
      </c>
      <c r="D80" s="34">
        <v>6511.1</v>
      </c>
      <c r="F80" s="155" t="s">
        <v>166</v>
      </c>
      <c r="G80" s="261"/>
      <c r="H80" s="261"/>
      <c r="I80" s="177"/>
      <c r="J80" s="265"/>
      <c r="K80" s="265"/>
      <c r="L80" s="265"/>
      <c r="M80" s="265"/>
      <c r="N80" s="263"/>
      <c r="O80" s="263"/>
    </row>
    <row r="81" spans="3:15" ht="15.75" customHeight="1">
      <c r="C81" s="111">
        <v>42275</v>
      </c>
      <c r="D81" s="34">
        <v>4229.6</v>
      </c>
      <c r="F81" s="90"/>
      <c r="G81" s="261"/>
      <c r="H81" s="261"/>
      <c r="I81" s="177"/>
      <c r="J81" s="262"/>
      <c r="K81" s="262"/>
      <c r="L81" s="262"/>
      <c r="M81" s="262"/>
      <c r="N81" s="263"/>
      <c r="O81" s="263"/>
    </row>
    <row r="82" spans="3:13" ht="15.75" customHeight="1">
      <c r="C82" s="111"/>
      <c r="F82" s="90"/>
      <c r="G82" s="264"/>
      <c r="H82" s="264"/>
      <c r="I82" s="221"/>
      <c r="J82" s="265"/>
      <c r="K82" s="265"/>
      <c r="L82" s="265"/>
      <c r="M82" s="265"/>
    </row>
    <row r="83" spans="2:13" ht="18.75" customHeight="1">
      <c r="B83" s="270" t="s">
        <v>160</v>
      </c>
      <c r="C83" s="271"/>
      <c r="D83" s="108">
        <f>1507100.82/1000</f>
        <v>1507.10082</v>
      </c>
      <c r="E83" s="220"/>
      <c r="F83" s="222"/>
      <c r="G83" s="261"/>
      <c r="H83" s="261"/>
      <c r="I83" s="223"/>
      <c r="J83" s="265"/>
      <c r="K83" s="265"/>
      <c r="L83" s="265"/>
      <c r="M83" s="265"/>
    </row>
    <row r="84" spans="6:12" ht="9.75" customHeight="1">
      <c r="F84" s="90"/>
      <c r="G84" s="261"/>
      <c r="H84" s="261"/>
      <c r="I84" s="90"/>
      <c r="J84" s="91"/>
      <c r="K84" s="91"/>
      <c r="L84" s="91"/>
    </row>
    <row r="85" spans="2:12" ht="22.5" customHeight="1" hidden="1">
      <c r="B85" s="267" t="s">
        <v>167</v>
      </c>
      <c r="C85" s="268"/>
      <c r="D85" s="110">
        <v>0</v>
      </c>
      <c r="E85" s="70" t="s">
        <v>104</v>
      </c>
      <c r="F85" s="90"/>
      <c r="G85" s="261"/>
      <c r="H85" s="261"/>
      <c r="I85" s="90"/>
      <c r="J85" s="91"/>
      <c r="K85" s="91"/>
      <c r="L85" s="91"/>
    </row>
    <row r="86" spans="4:15" ht="15">
      <c r="D86" s="105"/>
      <c r="F86" s="90"/>
      <c r="G86" s="91"/>
      <c r="H86" s="91"/>
      <c r="I86" s="91"/>
      <c r="N86" s="261"/>
      <c r="O86" s="261"/>
    </row>
    <row r="87" spans="4:15" ht="15">
      <c r="D87" s="104"/>
      <c r="I87" s="34"/>
      <c r="N87" s="269"/>
      <c r="O87" s="269"/>
    </row>
    <row r="88" spans="14:15" ht="15">
      <c r="N88" s="261"/>
      <c r="O88" s="261"/>
    </row>
    <row r="92" ht="15">
      <c r="E92" s="4" t="s">
        <v>166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78:J78"/>
    <mergeCell ref="N79:O79"/>
    <mergeCell ref="G80:H80"/>
    <mergeCell ref="J80:M80"/>
    <mergeCell ref="N80:O80"/>
    <mergeCell ref="J4:J5"/>
    <mergeCell ref="N4:N5"/>
    <mergeCell ref="O4:O5"/>
    <mergeCell ref="K5:L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8" right="0.25" top="0.27" bottom="0.36" header="0.2" footer="0.29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24" sqref="B24"/>
    </sheetView>
  </sheetViews>
  <sheetFormatPr defaultColWidth="9.1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50390625" style="4" customWidth="1"/>
    <col min="9" max="9" width="12.75390625" style="4" customWidth="1"/>
    <col min="10" max="10" width="9.50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7" t="s">
        <v>296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117"/>
      <c r="R1" s="118"/>
    </row>
    <row r="2" spans="2:18" s="1" customFormat="1" ht="15.75" customHeight="1">
      <c r="B2" s="248"/>
      <c r="C2" s="248"/>
      <c r="D2" s="24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49"/>
      <c r="B3" s="276"/>
      <c r="C3" s="252" t="s">
        <v>0</v>
      </c>
      <c r="D3" s="274" t="s">
        <v>261</v>
      </c>
      <c r="E3" s="40"/>
      <c r="F3" s="253" t="s">
        <v>107</v>
      </c>
      <c r="G3" s="254"/>
      <c r="H3" s="254"/>
      <c r="I3" s="254"/>
      <c r="J3" s="275"/>
      <c r="K3" s="114"/>
      <c r="L3" s="114"/>
      <c r="M3" s="255" t="s">
        <v>293</v>
      </c>
      <c r="N3" s="236" t="s">
        <v>294</v>
      </c>
      <c r="O3" s="236"/>
      <c r="P3" s="236"/>
      <c r="Q3" s="236"/>
      <c r="R3" s="236"/>
    </row>
    <row r="4" spans="1:18" ht="22.5" customHeight="1">
      <c r="A4" s="249"/>
      <c r="B4" s="276"/>
      <c r="C4" s="252"/>
      <c r="D4" s="274"/>
      <c r="E4" s="237" t="s">
        <v>291</v>
      </c>
      <c r="F4" s="239" t="s">
        <v>116</v>
      </c>
      <c r="G4" s="272" t="s">
        <v>292</v>
      </c>
      <c r="H4" s="243" t="s">
        <v>301</v>
      </c>
      <c r="I4" s="241" t="s">
        <v>217</v>
      </c>
      <c r="J4" s="256" t="s">
        <v>218</v>
      </c>
      <c r="K4" s="116" t="s">
        <v>172</v>
      </c>
      <c r="L4" s="121" t="s">
        <v>171</v>
      </c>
      <c r="M4" s="256"/>
      <c r="N4" s="258" t="s">
        <v>297</v>
      </c>
      <c r="O4" s="241" t="s">
        <v>136</v>
      </c>
      <c r="P4" s="260" t="s">
        <v>135</v>
      </c>
      <c r="Q4" s="122" t="s">
        <v>172</v>
      </c>
      <c r="R4" s="123" t="s">
        <v>171</v>
      </c>
    </row>
    <row r="5" spans="1:19" ht="92.25" customHeight="1">
      <c r="A5" s="250"/>
      <c r="B5" s="276"/>
      <c r="C5" s="252"/>
      <c r="D5" s="274"/>
      <c r="E5" s="238"/>
      <c r="F5" s="240"/>
      <c r="G5" s="273"/>
      <c r="H5" s="244"/>
      <c r="I5" s="242"/>
      <c r="J5" s="257"/>
      <c r="K5" s="245" t="s">
        <v>295</v>
      </c>
      <c r="L5" s="246"/>
      <c r="M5" s="257"/>
      <c r="N5" s="259"/>
      <c r="O5" s="242"/>
      <c r="P5" s="260"/>
      <c r="Q5" s="245" t="s">
        <v>176</v>
      </c>
      <c r="R5" s="24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7.2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18">
        <f>F9+F15+F18+F19+F20+F32+F17</f>
        <v>429512.11000000004</v>
      </c>
      <c r="G8" s="18">
        <f>#N/A</f>
        <v>16436.010000000126</v>
      </c>
      <c r="H8" s="45">
        <f>F8/E8*100</f>
        <v>103.97893027459108</v>
      </c>
      <c r="I8" s="31">
        <f>#N/A</f>
        <v>-142776.88999999996</v>
      </c>
      <c r="J8" s="31">
        <f>#N/A</f>
        <v>75.05161028780914</v>
      </c>
      <c r="K8" s="18">
        <f>K9+K15+K18+K19+K20+K32</f>
        <v>106867.78600000001</v>
      </c>
      <c r="L8" s="18"/>
      <c r="M8" s="18">
        <f>M9+M15+M18+M19+M20+M32+M17</f>
        <v>84902.7</v>
      </c>
      <c r="N8" s="18">
        <f>N9+N15+N18+N19+N20+N32+N17</f>
        <v>62739.87999999999</v>
      </c>
      <c r="O8" s="31">
        <f>#N/A</f>
        <v>-22162.820000000007</v>
      </c>
      <c r="P8" s="31">
        <f>F8/M8*100</f>
        <v>505.8874570537805</v>
      </c>
      <c r="Q8" s="31">
        <f>N8-33748.16</f>
        <v>28991.719999999987</v>
      </c>
      <c r="R8" s="125">
        <f>N8/33748.16</f>
        <v>1.8590607606459133</v>
      </c>
    </row>
    <row r="9" spans="1:19" s="6" customFormat="1" ht="15">
      <c r="A9" s="8"/>
      <c r="B9" s="15" t="s">
        <v>223</v>
      </c>
      <c r="C9" s="59">
        <v>11010000</v>
      </c>
      <c r="D9" s="36">
        <f>312690-500</f>
        <v>312190</v>
      </c>
      <c r="E9" s="36">
        <f>214524.65+8000</f>
        <v>222524.65</v>
      </c>
      <c r="F9" s="143">
        <v>233711.01</v>
      </c>
      <c r="G9" s="43">
        <f>#N/A</f>
        <v>11186.360000000015</v>
      </c>
      <c r="H9" s="35">
        <f>#N/A</f>
        <v>105.02702060198726</v>
      </c>
      <c r="I9" s="50">
        <f>#N/A</f>
        <v>-78478.98999999999</v>
      </c>
      <c r="J9" s="50">
        <f>#N/A</f>
        <v>74.86178609180307</v>
      </c>
      <c r="K9" s="132">
        <f>F9-250278.43/75*60</f>
        <v>33488.266</v>
      </c>
      <c r="L9" s="132">
        <f>F9/(250278.43/75*60)*100</f>
        <v>116.72550547004789</v>
      </c>
      <c r="M9" s="35">
        <f>E9-липень!E9</f>
        <v>34220</v>
      </c>
      <c r="N9" s="35">
        <f>F9-липень!F9</f>
        <v>30276.570000000007</v>
      </c>
      <c r="O9" s="47">
        <f>#N/A</f>
        <v>-3943.429999999993</v>
      </c>
      <c r="P9" s="50">
        <f>#N/A</f>
        <v>88.4762419637639</v>
      </c>
      <c r="Q9" s="132">
        <f>N9-26568.11</f>
        <v>3708.4600000000064</v>
      </c>
      <c r="R9" s="133">
        <f>N9/26568.11</f>
        <v>1.1395831318072684</v>
      </c>
      <c r="S9" s="158"/>
    </row>
    <row r="10" spans="1:18" s="6" customFormat="1" ht="15" hidden="1">
      <c r="A10" s="8"/>
      <c r="B10" s="183" t="s">
        <v>253</v>
      </c>
      <c r="C10" s="134">
        <v>11010100</v>
      </c>
      <c r="D10" s="135">
        <v>270410</v>
      </c>
      <c r="E10" s="135">
        <f>188000.25+8000</f>
        <v>196000.25</v>
      </c>
      <c r="F10" s="144">
        <v>206618.21</v>
      </c>
      <c r="G10" s="135">
        <f>#N/A</f>
        <v>10617.959999999992</v>
      </c>
      <c r="H10" s="137">
        <f>#N/A</f>
        <v>105.4173196207658</v>
      </c>
      <c r="I10" s="136">
        <f>#N/A</f>
        <v>-63791.79000000001</v>
      </c>
      <c r="J10" s="136">
        <f>#N/A</f>
        <v>76.40923412595689</v>
      </c>
      <c r="K10" s="138">
        <f>F10-222647.03/75*60</f>
        <v>28500.58600000001</v>
      </c>
      <c r="L10" s="138">
        <f>F10/(222647.03/75*60)*100</f>
        <v>116.00099156948109</v>
      </c>
      <c r="M10" s="35">
        <f>E10-липень!E10</f>
        <v>30770</v>
      </c>
      <c r="N10" s="35">
        <f>F10-липень!F10</f>
        <v>26548.23999999999</v>
      </c>
      <c r="O10" s="138">
        <f>#N/A</f>
        <v>-4221.760000000009</v>
      </c>
      <c r="P10" s="136">
        <f>#N/A</f>
        <v>86.27962300942474</v>
      </c>
      <c r="Q10" s="50"/>
      <c r="R10" s="126"/>
    </row>
    <row r="11" spans="1:18" s="6" customFormat="1" ht="15" hidden="1">
      <c r="A11" s="8"/>
      <c r="B11" s="183" t="s">
        <v>249</v>
      </c>
      <c r="C11" s="134">
        <v>11010200</v>
      </c>
      <c r="D11" s="135">
        <v>23200</v>
      </c>
      <c r="E11" s="135">
        <v>14688</v>
      </c>
      <c r="F11" s="144">
        <v>12408.56</v>
      </c>
      <c r="G11" s="135">
        <f>#N/A</f>
        <v>-2279.4400000000005</v>
      </c>
      <c r="H11" s="137">
        <f>#N/A</f>
        <v>84.48093681917211</v>
      </c>
      <c r="I11" s="136">
        <f>#N/A</f>
        <v>-10791.44</v>
      </c>
      <c r="J11" s="136">
        <f>#N/A</f>
        <v>53.4851724137931</v>
      </c>
      <c r="K11" s="138">
        <f>F11-15880.56/75*60</f>
        <v>-295.88800000000083</v>
      </c>
      <c r="L11" s="138">
        <f>F11/(15880.56/75*60)*100</f>
        <v>97.67098893238021</v>
      </c>
      <c r="M11" s="35">
        <f>E11-липень!E11</f>
        <v>1980</v>
      </c>
      <c r="N11" s="35">
        <f>F11-липень!F11</f>
        <v>1617.17</v>
      </c>
      <c r="O11" s="138">
        <f>#N/A</f>
        <v>-362.8299999999999</v>
      </c>
      <c r="P11" s="136">
        <f>#N/A</f>
        <v>81.67525252525253</v>
      </c>
      <c r="Q11" s="50"/>
      <c r="R11" s="126"/>
    </row>
    <row r="12" spans="1:18" s="6" customFormat="1" ht="1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44">
        <v>3331.36</v>
      </c>
      <c r="G12" s="135">
        <f>#N/A</f>
        <v>82.36000000000013</v>
      </c>
      <c r="H12" s="137">
        <f>#N/A</f>
        <v>102.53493382579255</v>
      </c>
      <c r="I12" s="136">
        <f>#N/A</f>
        <v>-2468.64</v>
      </c>
      <c r="J12" s="136">
        <f>#N/A</f>
        <v>57.43724137931034</v>
      </c>
      <c r="K12" s="138">
        <f>F12-4856.12/75*60</f>
        <v>-553.5359999999996</v>
      </c>
      <c r="L12" s="138">
        <f>F12/(4856.12*60)*100</f>
        <v>1.1433545024971925</v>
      </c>
      <c r="M12" s="35">
        <f>E12-липень!E12</f>
        <v>420</v>
      </c>
      <c r="N12" s="35">
        <f>F12-липень!F12</f>
        <v>278.44000000000005</v>
      </c>
      <c r="O12" s="138">
        <f>#N/A</f>
        <v>-141.55999999999995</v>
      </c>
      <c r="P12" s="136">
        <f>#N/A</f>
        <v>66.2952380952381</v>
      </c>
      <c r="Q12" s="50"/>
      <c r="R12" s="126"/>
    </row>
    <row r="13" spans="1:18" s="6" customFormat="1" ht="1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44">
        <v>4976.73</v>
      </c>
      <c r="G13" s="135">
        <f>#N/A</f>
        <v>-796.6700000000001</v>
      </c>
      <c r="H13" s="137">
        <f>#N/A</f>
        <v>86.2010253923165</v>
      </c>
      <c r="I13" s="136">
        <f>#N/A</f>
        <v>-3423.2700000000004</v>
      </c>
      <c r="J13" s="136">
        <f>#N/A</f>
        <v>59.24678571428571</v>
      </c>
      <c r="K13" s="138">
        <f>F13-6838.4/75*60</f>
        <v>-493.9899999999998</v>
      </c>
      <c r="L13" s="138">
        <f>F13/(6838.4/75*60)*100</f>
        <v>90.97029275854001</v>
      </c>
      <c r="M13" s="35">
        <f>E13-липень!E13</f>
        <v>660</v>
      </c>
      <c r="N13" s="35">
        <f>F13-липень!F13</f>
        <v>916.7099999999996</v>
      </c>
      <c r="O13" s="138">
        <f>#N/A</f>
        <v>256.7099999999996</v>
      </c>
      <c r="P13" s="136">
        <f>#N/A</f>
        <v>138.8954545454545</v>
      </c>
      <c r="Q13" s="50"/>
      <c r="R13" s="126"/>
    </row>
    <row r="14" spans="1:18" s="6" customFormat="1" ht="1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44">
        <v>6376.14</v>
      </c>
      <c r="G14" s="135">
        <f>#N/A</f>
        <v>3562.1400000000003</v>
      </c>
      <c r="H14" s="137">
        <f>#N/A</f>
        <v>226.58635394456292</v>
      </c>
      <c r="I14" s="136">
        <f>#N/A</f>
        <v>1996.1400000000003</v>
      </c>
      <c r="J14" s="136">
        <f>#N/A</f>
        <v>145.57397260273973</v>
      </c>
      <c r="K14" s="138">
        <f>F14-56.31/75*60</f>
        <v>6331.092000000001</v>
      </c>
      <c r="L14" s="138">
        <f>F14/(56.31/75*60)*100</f>
        <v>14154.10229088972</v>
      </c>
      <c r="M14" s="35">
        <f>E14-липень!E14</f>
        <v>390</v>
      </c>
      <c r="N14" s="35">
        <f>F14-липень!F14</f>
        <v>916.0200000000004</v>
      </c>
      <c r="O14" s="138">
        <f>#N/A</f>
        <v>526.0200000000004</v>
      </c>
      <c r="P14" s="136">
        <f>#N/A</f>
        <v>234.87692307692322</v>
      </c>
      <c r="Q14" s="50"/>
      <c r="R14" s="126"/>
    </row>
    <row r="15" spans="1:18" s="6" customFormat="1" ht="30.75">
      <c r="A15" s="8"/>
      <c r="B15" s="14" t="s">
        <v>19</v>
      </c>
      <c r="C15" s="59">
        <v>11020200</v>
      </c>
      <c r="D15" s="36">
        <f>500</f>
        <v>500</v>
      </c>
      <c r="E15" s="36">
        <v>171.3</v>
      </c>
      <c r="F15" s="143">
        <v>-734.58</v>
      </c>
      <c r="G15" s="43">
        <f>#N/A</f>
        <v>-905.8800000000001</v>
      </c>
      <c r="H15" s="35"/>
      <c r="I15" s="50">
        <f>#N/A</f>
        <v>-1234.58</v>
      </c>
      <c r="J15" s="50">
        <f>F15/D15*100</f>
        <v>-146.916</v>
      </c>
      <c r="K15" s="53">
        <f>F15-72.71</f>
        <v>-807.2900000000001</v>
      </c>
      <c r="L15" s="53">
        <f>F15/72.71*100</f>
        <v>-1010.2874432677762</v>
      </c>
      <c r="M15" s="35">
        <f>E15-липень!E15</f>
        <v>0</v>
      </c>
      <c r="N15" s="35">
        <f>F15-липень!F15</f>
        <v>54.17999999999995</v>
      </c>
      <c r="O15" s="47">
        <f>#N/A</f>
        <v>54.17999999999995</v>
      </c>
      <c r="P15" s="50"/>
      <c r="Q15" s="50">
        <f>N15-358.81</f>
        <v>-304.63000000000005</v>
      </c>
      <c r="R15" s="126">
        <f>N15/358.81</f>
        <v>0.15099913603299783</v>
      </c>
    </row>
    <row r="16" spans="1:18" s="6" customFormat="1" ht="1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-1233.81</v>
      </c>
      <c r="G16" s="135">
        <f>#N/A</f>
        <v>-1233.81</v>
      </c>
      <c r="H16" s="137"/>
      <c r="I16" s="136">
        <f>#N/A</f>
        <v>-1233.81</v>
      </c>
      <c r="J16" s="136"/>
      <c r="K16" s="138">
        <f>F16-573.12</f>
        <v>-1806.9299999999998</v>
      </c>
      <c r="L16" s="138">
        <f>F16/573.12*100</f>
        <v>-215.2795226130653</v>
      </c>
      <c r="M16" s="35">
        <f>E16-липень!E16</f>
        <v>0</v>
      </c>
      <c r="N16" s="35">
        <f>F16-липень!F16</f>
        <v>52.330000000000155</v>
      </c>
      <c r="O16" s="138">
        <f>#N/A</f>
        <v>52.330000000000155</v>
      </c>
      <c r="P16" s="50"/>
      <c r="Q16" s="136">
        <f>N16-358.81</f>
        <v>-306.47999999999985</v>
      </c>
      <c r="R16" s="141">
        <f>N16/358.79</f>
        <v>0.14585133364921027</v>
      </c>
    </row>
    <row r="17" spans="1:18" s="6" customFormat="1" ht="30.7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0.7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>#N/A</f>
        <v>2.8000000000000007</v>
      </c>
      <c r="H18" s="35">
        <f>#N/A</f>
        <v>121.53846153846155</v>
      </c>
      <c r="I18" s="50">
        <f>#N/A</f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>#N/A</f>
        <v>0</v>
      </c>
      <c r="P18" s="50" t="e">
        <f>#N/A</f>
        <v>#DIV/0!</v>
      </c>
      <c r="Q18" s="50"/>
      <c r="R18" s="126"/>
    </row>
    <row r="19" spans="1:18" s="6" customFormat="1" ht="46.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168">
        <v>43877.66</v>
      </c>
      <c r="G19" s="43">
        <f>#N/A</f>
        <v>-45.08999999999651</v>
      </c>
      <c r="H19" s="35">
        <f>#N/A</f>
        <v>99.89734249335483</v>
      </c>
      <c r="I19" s="50">
        <f>#N/A</f>
        <v>-18332.339999999997</v>
      </c>
      <c r="J19" s="178">
        <f>F19/D19*100</f>
        <v>70.53152226330172</v>
      </c>
      <c r="K19" s="179">
        <f>F19-0</f>
        <v>43877.66</v>
      </c>
      <c r="L19" s="180"/>
      <c r="M19" s="35">
        <f>E19-липень!E19</f>
        <v>17700</v>
      </c>
      <c r="N19" s="35">
        <f>F19-липень!F19</f>
        <v>6753.050000000003</v>
      </c>
      <c r="O19" s="47">
        <f>#N/A</f>
        <v>-10946.949999999997</v>
      </c>
      <c r="P19" s="50">
        <f>#N/A</f>
        <v>38.15282485875708</v>
      </c>
      <c r="Q19" s="139"/>
      <c r="R19" s="140"/>
    </row>
    <row r="20" spans="1:18" s="6" customFormat="1" ht="1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169">
        <f>F21+F25+F27+F26</f>
        <v>147068.16999999998</v>
      </c>
      <c r="G20" s="43">
        <f>#N/A</f>
        <v>6375.869999999995</v>
      </c>
      <c r="H20" s="35">
        <f>#N/A</f>
        <v>104.53178318927189</v>
      </c>
      <c r="I20" s="50">
        <f>#N/A</f>
        <v>-42801.830000000016</v>
      </c>
      <c r="J20" s="178">
        <f>#N/A</f>
        <v>77.45729709801442</v>
      </c>
      <c r="K20" s="178">
        <f>K21+K25+K26+K27</f>
        <v>32086.22</v>
      </c>
      <c r="L20" s="136"/>
      <c r="M20" s="35">
        <f>E20-липень!E20</f>
        <v>31232.59999999999</v>
      </c>
      <c r="N20" s="35">
        <f>F20-липень!F20</f>
        <v>24111.17999999998</v>
      </c>
      <c r="O20" s="47">
        <f>#N/A</f>
        <v>-7121.420000000013</v>
      </c>
      <c r="P20" s="50">
        <f>#N/A</f>
        <v>77.19876026971814</v>
      </c>
      <c r="Q20" s="139"/>
      <c r="R20" s="140"/>
    </row>
    <row r="21" spans="1:18" s="6" customFormat="1" ht="1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169">
        <f>F22+F23+F24</f>
        <v>79798.88</v>
      </c>
      <c r="G21" s="43">
        <f>#N/A</f>
        <v>2618.5800000000017</v>
      </c>
      <c r="H21" s="35">
        <f>#N/A</f>
        <v>103.39280878669817</v>
      </c>
      <c r="I21" s="50">
        <f>#N/A</f>
        <v>-30501.119999999995</v>
      </c>
      <c r="J21" s="178">
        <f>#N/A</f>
        <v>72.3471260199456</v>
      </c>
      <c r="K21" s="178">
        <f>K22+K23+K24</f>
        <v>25217.340000000004</v>
      </c>
      <c r="L21" s="136"/>
      <c r="M21" s="35">
        <f>E21-липень!E21</f>
        <v>19677.100000000006</v>
      </c>
      <c r="N21" s="35">
        <f>F21-липень!F21</f>
        <v>11931.700000000012</v>
      </c>
      <c r="O21" s="47">
        <f>#N/A</f>
        <v>-7745.399999999994</v>
      </c>
      <c r="P21" s="50">
        <f>#N/A</f>
        <v>60.637492313399875</v>
      </c>
      <c r="Q21" s="139"/>
      <c r="R21" s="140"/>
    </row>
    <row r="22" spans="1:18" s="6" customFormat="1" ht="1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44">
        <v>8673.74</v>
      </c>
      <c r="G22" s="135">
        <f>#N/A</f>
        <v>50.44000000000051</v>
      </c>
      <c r="H22" s="137">
        <f>#N/A</f>
        <v>100.58492688413949</v>
      </c>
      <c r="I22" s="136">
        <f>#N/A</f>
        <v>-2026.2600000000002</v>
      </c>
      <c r="J22" s="136">
        <f>#N/A</f>
        <v>81.0629906542056</v>
      </c>
      <c r="K22" s="136">
        <f>F22-288.8</f>
        <v>8384.94</v>
      </c>
      <c r="L22" s="136">
        <f>F22/288.8*100</f>
        <v>3003.372576177285</v>
      </c>
      <c r="M22" s="137">
        <f>E22-липень!E22</f>
        <v>8044.099999999999</v>
      </c>
      <c r="N22" s="137">
        <f>F22-липень!F22</f>
        <v>217.75</v>
      </c>
      <c r="O22" s="138">
        <f>#N/A</f>
        <v>-7826.349999999999</v>
      </c>
      <c r="P22" s="136">
        <f>#N/A</f>
        <v>2.7069529220173796</v>
      </c>
      <c r="Q22" s="139"/>
      <c r="R22" s="140"/>
    </row>
    <row r="23" spans="1:18" s="6" customFormat="1" ht="1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44">
        <v>3116.95</v>
      </c>
      <c r="G23" s="135">
        <f>#N/A</f>
        <v>1638.9499999999998</v>
      </c>
      <c r="H23" s="137"/>
      <c r="I23" s="136">
        <f>#N/A</f>
        <v>1016.9499999999998</v>
      </c>
      <c r="J23" s="136">
        <f>#N/A</f>
        <v>148.42619047619047</v>
      </c>
      <c r="K23" s="136">
        <f>F23-0</f>
        <v>3116.95</v>
      </c>
      <c r="L23" s="136"/>
      <c r="M23" s="137">
        <f>E23-липень!E23</f>
        <v>1103</v>
      </c>
      <c r="N23" s="137">
        <f>F23-липень!F23</f>
        <v>2343.75</v>
      </c>
      <c r="O23" s="138">
        <f>#N/A</f>
        <v>1240.75</v>
      </c>
      <c r="P23" s="136"/>
      <c r="Q23" s="139"/>
      <c r="R23" s="140"/>
    </row>
    <row r="24" spans="1:18" s="6" customFormat="1" ht="1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44">
        <v>68008.19</v>
      </c>
      <c r="G24" s="135">
        <f>#N/A</f>
        <v>929.1900000000023</v>
      </c>
      <c r="H24" s="137">
        <f>#N/A</f>
        <v>101.38521743019425</v>
      </c>
      <c r="I24" s="136">
        <f>#N/A</f>
        <v>-29491.809999999998</v>
      </c>
      <c r="J24" s="136">
        <f>#N/A</f>
        <v>69.75198974358975</v>
      </c>
      <c r="K24" s="224">
        <f>F24-54292.74</f>
        <v>13715.450000000004</v>
      </c>
      <c r="L24" s="224">
        <f>F24/54292.74*100</f>
        <v>125.26203319265154</v>
      </c>
      <c r="M24" s="137">
        <f>E24-липень!E24</f>
        <v>10530</v>
      </c>
      <c r="N24" s="137">
        <f>F24-липень!F24</f>
        <v>9370.200000000004</v>
      </c>
      <c r="O24" s="138">
        <f>#N/A</f>
        <v>-1159.7999999999956</v>
      </c>
      <c r="P24" s="136">
        <f>#N/A</f>
        <v>88.98575498575502</v>
      </c>
      <c r="Q24" s="139"/>
      <c r="R24" s="140"/>
    </row>
    <row r="25" spans="1:18" s="6" customFormat="1" ht="1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168">
        <v>48.85</v>
      </c>
      <c r="G25" s="43">
        <f>#N/A</f>
        <v>13.350000000000001</v>
      </c>
      <c r="H25" s="35">
        <f>#N/A</f>
        <v>137.6056338028169</v>
      </c>
      <c r="I25" s="50">
        <f>#N/A</f>
        <v>-21.15</v>
      </c>
      <c r="J25" s="178">
        <f>#N/A</f>
        <v>69.78571428571428</v>
      </c>
      <c r="K25" s="178">
        <f>F25-41.08</f>
        <v>7.770000000000003</v>
      </c>
      <c r="L25" s="178">
        <f>F25/41.08*100</f>
        <v>118.91431353456672</v>
      </c>
      <c r="M25" s="35">
        <f>E25-липень!E25</f>
        <v>5.5</v>
      </c>
      <c r="N25" s="35">
        <f>F25-липень!F25</f>
        <v>7.190000000000005</v>
      </c>
      <c r="O25" s="47">
        <f>#N/A</f>
        <v>1.6900000000000048</v>
      </c>
      <c r="P25" s="50">
        <f>#N/A</f>
        <v>130.72727272727283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-614.57</v>
      </c>
      <c r="G26" s="43">
        <f>#N/A</f>
        <v>-614.57</v>
      </c>
      <c r="H26" s="35"/>
      <c r="I26" s="50">
        <f>#N/A</f>
        <v>-614.57</v>
      </c>
      <c r="J26" s="136"/>
      <c r="K26" s="178">
        <f>F26-4244.7</f>
        <v>-4859.2699999999995</v>
      </c>
      <c r="L26" s="178">
        <f>F26/4244.7*100</f>
        <v>-14.478526162037367</v>
      </c>
      <c r="M26" s="35">
        <f>E26-липень!E26</f>
        <v>0</v>
      </c>
      <c r="N26" s="35">
        <f>F26-липень!F26</f>
        <v>-84.21000000000004</v>
      </c>
      <c r="O26" s="47">
        <f>#N/A</f>
        <v>-84.21000000000004</v>
      </c>
      <c r="P26" s="50"/>
      <c r="Q26" s="139"/>
      <c r="R26" s="140"/>
    </row>
    <row r="27" spans="1:18" s="6" customFormat="1" ht="1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168">
        <v>67835.01</v>
      </c>
      <c r="G27" s="43">
        <f>#N/A</f>
        <v>4358.509999999995</v>
      </c>
      <c r="H27" s="35">
        <f>#N/A</f>
        <v>106.8663363607004</v>
      </c>
      <c r="I27" s="50">
        <f>#N/A</f>
        <v>-11664.990000000005</v>
      </c>
      <c r="J27" s="178">
        <f>#N/A</f>
        <v>85.32705660377357</v>
      </c>
      <c r="K27" s="132">
        <f>F27-56114.63</f>
        <v>11720.379999999997</v>
      </c>
      <c r="L27" s="132">
        <f>F27/56114.63*100</f>
        <v>120.88649608845323</v>
      </c>
      <c r="M27" s="35">
        <f>E27-липень!E27</f>
        <v>11550</v>
      </c>
      <c r="N27" s="35">
        <f>F27-липень!F27</f>
        <v>12256.499999999993</v>
      </c>
      <c r="O27" s="47">
        <f>#N/A</f>
        <v>706.4999999999927</v>
      </c>
      <c r="P27" s="50">
        <f>#N/A</f>
        <v>106.11688311688306</v>
      </c>
      <c r="Q27" s="139"/>
      <c r="R27" s="140"/>
    </row>
    <row r="28" spans="1:18" s="6" customFormat="1" ht="1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>#N/A</f>
        <v>-1.2</v>
      </c>
      <c r="H28" s="137"/>
      <c r="I28" s="136">
        <f>#N/A</f>
        <v>-1.2</v>
      </c>
      <c r="J28" s="136"/>
      <c r="K28" s="139">
        <f>F28-0.37</f>
        <v>-1.5699999999999998</v>
      </c>
      <c r="L28" s="139">
        <f>F28/0.37*100</f>
        <v>-324.3243243243243</v>
      </c>
      <c r="M28" s="137">
        <f>E28-липень!E28</f>
        <v>0</v>
      </c>
      <c r="N28" s="137">
        <f>F28-липень!F28</f>
        <v>0</v>
      </c>
      <c r="O28" s="138">
        <f>#N/A</f>
        <v>0</v>
      </c>
      <c r="P28" s="136"/>
      <c r="Q28" s="139"/>
      <c r="R28" s="140"/>
    </row>
    <row r="29" spans="1:18" s="6" customFormat="1" ht="15" hidden="1">
      <c r="A29" s="8"/>
      <c r="B29" s="69" t="s">
        <v>255</v>
      </c>
      <c r="C29" s="134">
        <v>18050300</v>
      </c>
      <c r="D29" s="135">
        <v>19200</v>
      </c>
      <c r="E29" s="135">
        <f>14740+840</f>
        <v>15580</v>
      </c>
      <c r="F29" s="144">
        <v>16931.33</v>
      </c>
      <c r="G29" s="135">
        <f>#N/A</f>
        <v>1351.3300000000017</v>
      </c>
      <c r="H29" s="137">
        <f>#N/A</f>
        <v>108.6734916559692</v>
      </c>
      <c r="I29" s="136">
        <f>#N/A</f>
        <v>-2268.6699999999983</v>
      </c>
      <c r="J29" s="136">
        <f>#N/A</f>
        <v>88.18401041666668</v>
      </c>
      <c r="K29" s="139">
        <f>F29-15615.32</f>
        <v>1316.010000000002</v>
      </c>
      <c r="L29" s="139">
        <f>F29/15615.32*100</f>
        <v>108.42768511948523</v>
      </c>
      <c r="M29" s="137">
        <f>E29-липень!E29</f>
        <v>3340</v>
      </c>
      <c r="N29" s="137">
        <f>F29-липень!F29</f>
        <v>3852.470000000001</v>
      </c>
      <c r="O29" s="138">
        <f>#N/A</f>
        <v>512.4700000000012</v>
      </c>
      <c r="P29" s="136"/>
      <c r="Q29" s="139"/>
      <c r="R29" s="140"/>
    </row>
    <row r="30" spans="1:18" s="6" customFormat="1" ht="15" hidden="1">
      <c r="A30" s="8"/>
      <c r="B30" s="69" t="s">
        <v>256</v>
      </c>
      <c r="C30" s="134">
        <v>18050400</v>
      </c>
      <c r="D30" s="135">
        <v>60300</v>
      </c>
      <c r="E30" s="135">
        <f>45096.5+2800</f>
        <v>47896.5</v>
      </c>
      <c r="F30" s="144">
        <v>50888.07</v>
      </c>
      <c r="G30" s="135">
        <f>#N/A</f>
        <v>2991.5699999999997</v>
      </c>
      <c r="H30" s="137">
        <f>#N/A</f>
        <v>106.245905233159</v>
      </c>
      <c r="I30" s="136">
        <f>#N/A</f>
        <v>-9411.93</v>
      </c>
      <c r="J30" s="136">
        <f>#N/A</f>
        <v>84.39149253731343</v>
      </c>
      <c r="K30" s="139">
        <f>F30-40498.93</f>
        <v>10389.14</v>
      </c>
      <c r="L30" s="139">
        <f>F30/40498.93*100</f>
        <v>125.65287527349487</v>
      </c>
      <c r="M30" s="137">
        <f>E30-липень!E30</f>
        <v>8210</v>
      </c>
      <c r="N30" s="137">
        <f>F30-липень!F30</f>
        <v>8397.029999999999</v>
      </c>
      <c r="O30" s="138">
        <f>#N/A</f>
        <v>187.02999999999884</v>
      </c>
      <c r="P30" s="136"/>
      <c r="Q30" s="139"/>
      <c r="R30" s="140"/>
    </row>
    <row r="31" spans="1:18" s="6" customFormat="1" ht="1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>#N/A</f>
        <v>16.81</v>
      </c>
      <c r="H31" s="137"/>
      <c r="I31" s="136">
        <f>#N/A</f>
        <v>16.81</v>
      </c>
      <c r="J31" s="136"/>
      <c r="K31" s="139">
        <f>F31-0</f>
        <v>16.81</v>
      </c>
      <c r="L31" s="139"/>
      <c r="M31" s="137">
        <f>E31-липень!E31</f>
        <v>0</v>
      </c>
      <c r="N31" s="137">
        <f>F31-липень!F31</f>
        <v>7.009999999999998</v>
      </c>
      <c r="O31" s="138">
        <f>#N/A</f>
        <v>7.009999999999998</v>
      </c>
      <c r="P31" s="136"/>
      <c r="Q31" s="139"/>
      <c r="R31" s="140"/>
    </row>
    <row r="32" spans="1:18" s="6" customFormat="1" ht="1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168">
        <v>5573.96</v>
      </c>
      <c r="G32" s="43">
        <f>#N/A</f>
        <v>-178.14000000000033</v>
      </c>
      <c r="H32" s="35">
        <f>#N/A</f>
        <v>96.90304410563098</v>
      </c>
      <c r="I32" s="50">
        <f>#N/A</f>
        <v>-1926.04</v>
      </c>
      <c r="J32" s="178">
        <f>#N/A</f>
        <v>74.31946666666667</v>
      </c>
      <c r="K32" s="178">
        <f>F32-7363.52</f>
        <v>-1789.5600000000004</v>
      </c>
      <c r="L32" s="178">
        <f>F32/5308.17*100</f>
        <v>105.00718703432632</v>
      </c>
      <c r="M32" s="35">
        <f>E32-липень!E32</f>
        <v>1750.1000000000004</v>
      </c>
      <c r="N32" s="35">
        <f>F32-липень!F32</f>
        <v>1544.9</v>
      </c>
      <c r="O32" s="47">
        <f>#N/A</f>
        <v>-205.20000000000027</v>
      </c>
      <c r="P32" s="50">
        <f>#N/A</f>
        <v>88.27495571681617</v>
      </c>
      <c r="Q32" s="139"/>
      <c r="R32" s="140"/>
    </row>
    <row r="33" spans="1:18" s="6" customFormat="1" ht="17.2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18">
        <f>F34+F35+F36+F37+F38+F41+F42+F47+F48+F52+F40+F39</f>
        <v>21607.350000000002</v>
      </c>
      <c r="G33" s="44">
        <f>#N/A</f>
        <v>1517.1500000000015</v>
      </c>
      <c r="H33" s="45">
        <f>F33/E33*100</f>
        <v>107.55169186966779</v>
      </c>
      <c r="I33" s="31">
        <f>#N/A</f>
        <v>-7099.749999999996</v>
      </c>
      <c r="J33" s="31">
        <f>#N/A</f>
        <v>75.2683134137548</v>
      </c>
      <c r="K33" s="18">
        <f>K34+K35+K36+K37+K38+K41+K42+K47+K48+K52+K40</f>
        <v>12998.86</v>
      </c>
      <c r="L33" s="18"/>
      <c r="M33" s="18">
        <f>M34+M35+M36+M37+M38+M41+M42+M47+M48+M52+M40+M39</f>
        <v>12920.2</v>
      </c>
      <c r="N33" s="18">
        <f>N34+N35+N36+N37+N38+N41+N42+N47+N48+N52+N40+N39</f>
        <v>2782.120000000001</v>
      </c>
      <c r="O33" s="49">
        <f>#N/A</f>
        <v>-10138.08</v>
      </c>
      <c r="P33" s="31">
        <f>N33/M33*100</f>
        <v>21.533103202736807</v>
      </c>
      <c r="Q33" s="31">
        <f>N33-1017.63</f>
        <v>1764.4900000000007</v>
      </c>
      <c r="R33" s="127">
        <f>N33/1017.63</f>
        <v>2.733920973241749</v>
      </c>
    </row>
    <row r="34" spans="1:18" s="6" customFormat="1" ht="46.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>#N/A</f>
        <v>-160.36</v>
      </c>
      <c r="H34" s="35">
        <f>F34/E34*100</f>
        <v>-60.36</v>
      </c>
      <c r="I34" s="50">
        <f>#N/A</f>
        <v>-160.36</v>
      </c>
      <c r="J34" s="50">
        <f>#N/A</f>
        <v>-60.36</v>
      </c>
      <c r="K34" s="50">
        <f>F34-123.45</f>
        <v>-183.81</v>
      </c>
      <c r="L34" s="50">
        <f>F34/123.45*100</f>
        <v>-48.89428918590522</v>
      </c>
      <c r="M34" s="35">
        <f>E34-липень!E34</f>
        <v>0</v>
      </c>
      <c r="N34" s="35">
        <f>F34-липень!F34</f>
        <v>-161.76</v>
      </c>
      <c r="O34" s="47">
        <f>#N/A</f>
        <v>-161.76</v>
      </c>
      <c r="P34" s="50" t="e">
        <f>N34/M34*100</f>
        <v>#DIV/0!</v>
      </c>
      <c r="Q34" s="50">
        <f>N34-0</f>
        <v>-161.76</v>
      </c>
      <c r="R34" s="126" t="e">
        <f>N34/0</f>
        <v>#DIV/0!</v>
      </c>
    </row>
    <row r="35" spans="1:18" s="6" customFormat="1" ht="30.7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143">
        <v>201.37</v>
      </c>
      <c r="G35" s="43">
        <f>#N/A</f>
        <v>1.3700000000000045</v>
      </c>
      <c r="H35" s="35"/>
      <c r="I35" s="50">
        <f>#N/A</f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>#N/A</f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307.2</v>
      </c>
      <c r="G36" s="43">
        <f>#N/A</f>
        <v>67.19999999999999</v>
      </c>
      <c r="H36" s="35"/>
      <c r="I36" s="50">
        <f>#N/A</f>
        <v>67.19999999999999</v>
      </c>
      <c r="J36" s="50"/>
      <c r="K36" s="50">
        <f>F36-255.77</f>
        <v>51.42999999999998</v>
      </c>
      <c r="L36" s="50">
        <f>F36/255.77*100</f>
        <v>120.10790944989638</v>
      </c>
      <c r="M36" s="35">
        <f>E36-липень!E36</f>
        <v>240</v>
      </c>
      <c r="N36" s="35">
        <f>F36-липень!F36</f>
        <v>60.70999999999998</v>
      </c>
      <c r="O36" s="47">
        <f>#N/A</f>
        <v>-179.29000000000002</v>
      </c>
      <c r="P36" s="50"/>
      <c r="Q36" s="50">
        <f>N36-4.23</f>
        <v>56.479999999999976</v>
      </c>
      <c r="R36" s="126">
        <f>N36/4.23</f>
        <v>14.352245862884155</v>
      </c>
    </row>
    <row r="37" spans="1:18" s="6" customFormat="1" ht="30.7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143">
        <v>0</v>
      </c>
      <c r="G37" s="43">
        <f>#N/A</f>
        <v>-3.5</v>
      </c>
      <c r="H37" s="35">
        <f>F37/E37*100</f>
        <v>0</v>
      </c>
      <c r="I37" s="50">
        <f>#N/A</f>
        <v>-6.5</v>
      </c>
      <c r="J37" s="50">
        <f>#N/A</f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>#N/A</f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">
      <c r="A38" s="8"/>
      <c r="B38" s="15" t="s">
        <v>90</v>
      </c>
      <c r="C38" s="95">
        <v>21081100</v>
      </c>
      <c r="D38" s="36">
        <v>140</v>
      </c>
      <c r="E38" s="36">
        <v>90</v>
      </c>
      <c r="F38" s="143">
        <v>104.06</v>
      </c>
      <c r="G38" s="43">
        <f>#N/A</f>
        <v>14.060000000000002</v>
      </c>
      <c r="H38" s="35">
        <f>F38/E38*100</f>
        <v>115.62222222222222</v>
      </c>
      <c r="I38" s="50">
        <f>#N/A</f>
        <v>-35.94</v>
      </c>
      <c r="J38" s="50">
        <f>#N/A</f>
        <v>74.32857142857144</v>
      </c>
      <c r="K38" s="50">
        <f>F38-82.36</f>
        <v>21.700000000000003</v>
      </c>
      <c r="L38" s="50">
        <f>F38/82.36*100</f>
        <v>126.34774162214669</v>
      </c>
      <c r="M38" s="35">
        <f>E38-липень!E38</f>
        <v>10</v>
      </c>
      <c r="N38" s="35">
        <f>F38-липень!F38</f>
        <v>13.820000000000007</v>
      </c>
      <c r="O38" s="47">
        <f>#N/A</f>
        <v>3.8200000000000074</v>
      </c>
      <c r="P38" s="50">
        <f>N38/M38*100</f>
        <v>138.20000000000007</v>
      </c>
      <c r="Q38" s="50">
        <f>N38-9.02</f>
        <v>4.800000000000008</v>
      </c>
      <c r="R38" s="126">
        <f>N38/9.02</f>
        <v>1.532150776053216</v>
      </c>
    </row>
    <row r="39" spans="1:18" s="6" customFormat="1" ht="46.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E39-липень!E39</f>
        <v>0</v>
      </c>
      <c r="N39" s="35">
        <f>F39-липень!F39</f>
        <v>0.5</v>
      </c>
      <c r="O39" s="47"/>
      <c r="P39" s="50"/>
      <c r="Q39" s="50"/>
      <c r="R39" s="126"/>
    </row>
    <row r="40" spans="1:18" s="6" customFormat="1" ht="1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143">
        <v>6772.05</v>
      </c>
      <c r="G40" s="43"/>
      <c r="H40" s="35"/>
      <c r="I40" s="50">
        <f>#N/A</f>
        <v>-2227.95</v>
      </c>
      <c r="J40" s="50"/>
      <c r="K40" s="50">
        <f>F40-0</f>
        <v>6772.05</v>
      </c>
      <c r="L40" s="50"/>
      <c r="M40" s="35">
        <f>E40-липень!E40</f>
        <v>6937</v>
      </c>
      <c r="N40" s="35">
        <f>F40-липень!F40</f>
        <v>834.3900000000003</v>
      </c>
      <c r="O40" s="47"/>
      <c r="P40" s="50"/>
      <c r="Q40" s="50"/>
      <c r="R40" s="126"/>
    </row>
    <row r="41" spans="1:18" s="6" customFormat="1" ht="30.7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143">
        <v>5864.85</v>
      </c>
      <c r="G41" s="43">
        <f>#N/A</f>
        <v>1244.8500000000004</v>
      </c>
      <c r="H41" s="35">
        <f>F41/E41*100</f>
        <v>126.9448051948052</v>
      </c>
      <c r="I41" s="50">
        <f>#N/A</f>
        <v>-1035.1499999999996</v>
      </c>
      <c r="J41" s="50">
        <f>#N/A</f>
        <v>84.99782608695654</v>
      </c>
      <c r="K41" s="50">
        <f>F41-4735.68</f>
        <v>1129.17</v>
      </c>
      <c r="L41" s="50">
        <f>F41/4735.68*100</f>
        <v>123.84388303263734</v>
      </c>
      <c r="M41" s="35">
        <f>E41-липень!E41</f>
        <v>550</v>
      </c>
      <c r="N41" s="35">
        <f>F41-липень!F41</f>
        <v>723.1100000000006</v>
      </c>
      <c r="O41" s="47">
        <f>#N/A</f>
        <v>173.11000000000058</v>
      </c>
      <c r="P41" s="50">
        <f>N41/M41*100</f>
        <v>131.47454545454556</v>
      </c>
      <c r="Q41" s="50">
        <f>N41-647.49</f>
        <v>75.62000000000057</v>
      </c>
      <c r="R41" s="126">
        <f>N41/647.49</f>
        <v>1.1167894484856917</v>
      </c>
    </row>
    <row r="42" spans="1:18" s="6" customFormat="1" ht="1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143">
        <v>5221.43</v>
      </c>
      <c r="G42" s="43">
        <f>#N/A</f>
        <v>26.730000000000473</v>
      </c>
      <c r="H42" s="35">
        <f>F42/E42*100</f>
        <v>100.51456291989913</v>
      </c>
      <c r="I42" s="50">
        <f>#N/A</f>
        <v>-1878.5699999999997</v>
      </c>
      <c r="J42" s="50">
        <f>#N/A</f>
        <v>73.5412676056338</v>
      </c>
      <c r="K42" s="50">
        <f>F42-685.66</f>
        <v>4535.77</v>
      </c>
      <c r="L42" s="50">
        <f>F42/685.66*100</f>
        <v>761.5188285739288</v>
      </c>
      <c r="M42" s="35">
        <f>E42-липень!E42</f>
        <v>4632.7</v>
      </c>
      <c r="N42" s="35">
        <f>F42-липень!F42</f>
        <v>529.25</v>
      </c>
      <c r="O42" s="47">
        <f>#N/A</f>
        <v>-4103.45</v>
      </c>
      <c r="P42" s="50">
        <f>N42/M42*100</f>
        <v>11.424223455004642</v>
      </c>
      <c r="Q42" s="50">
        <f>N42-79.51</f>
        <v>449.74</v>
      </c>
      <c r="R42" s="126">
        <f>N42/79.51</f>
        <v>6.656395421959502</v>
      </c>
    </row>
    <row r="43" spans="1:18" s="6" customFormat="1" ht="15" hidden="1">
      <c r="A43" s="8"/>
      <c r="B43" s="69" t="s">
        <v>271</v>
      </c>
      <c r="C43" s="204">
        <v>22090100</v>
      </c>
      <c r="D43" s="135">
        <v>1100</v>
      </c>
      <c r="E43" s="135">
        <f>630+130</f>
        <v>760</v>
      </c>
      <c r="F43" s="144">
        <v>735.13</v>
      </c>
      <c r="G43" s="135">
        <f>#N/A</f>
        <v>-24.870000000000005</v>
      </c>
      <c r="H43" s="137">
        <f>F43/E43*100</f>
        <v>96.72763157894737</v>
      </c>
      <c r="I43" s="136">
        <f>#N/A</f>
        <v>-364.87</v>
      </c>
      <c r="J43" s="136">
        <f>#N/A</f>
        <v>66.83</v>
      </c>
      <c r="K43" s="136">
        <f>F43-605.31</f>
        <v>129.82000000000005</v>
      </c>
      <c r="L43" s="136">
        <f>F43/605.31*100</f>
        <v>121.44686193851086</v>
      </c>
      <c r="M43" s="35">
        <f>E43-липень!E43</f>
        <v>270</v>
      </c>
      <c r="N43" s="35">
        <f>F43-липень!F43</f>
        <v>61.549999999999955</v>
      </c>
      <c r="O43" s="138"/>
      <c r="P43" s="50"/>
      <c r="Q43" s="50"/>
      <c r="R43" s="126"/>
    </row>
    <row r="44" spans="1:18" s="6" customFormat="1" ht="15" hidden="1">
      <c r="A44" s="8"/>
      <c r="B44" s="69" t="s">
        <v>268</v>
      </c>
      <c r="C44" s="204">
        <v>22090200</v>
      </c>
      <c r="D44" s="135">
        <v>80</v>
      </c>
      <c r="E44" s="135">
        <f>0+50</f>
        <v>50</v>
      </c>
      <c r="F44" s="144">
        <v>45.45</v>
      </c>
      <c r="G44" s="135">
        <f>#N/A</f>
        <v>-4.549999999999997</v>
      </c>
      <c r="H44" s="137"/>
      <c r="I44" s="136">
        <f>#N/A</f>
        <v>-34.55</v>
      </c>
      <c r="J44" s="136"/>
      <c r="K44" s="136">
        <f>F44-0</f>
        <v>45.45</v>
      </c>
      <c r="L44" s="136"/>
      <c r="M44" s="35">
        <f>E44-липень!E44</f>
        <v>50</v>
      </c>
      <c r="N44" s="35">
        <f>F44-липень!F44</f>
        <v>0.020000000000003126</v>
      </c>
      <c r="O44" s="138"/>
      <c r="P44" s="50"/>
      <c r="Q44" s="50"/>
      <c r="R44" s="126"/>
    </row>
    <row r="45" spans="1:18" s="6" customFormat="1" ht="15" hidden="1">
      <c r="A45" s="8"/>
      <c r="B45" s="69" t="s">
        <v>269</v>
      </c>
      <c r="C45" s="204">
        <v>22090300</v>
      </c>
      <c r="D45" s="135">
        <v>2</v>
      </c>
      <c r="E45" s="135">
        <f>0+0.7</f>
        <v>0.7</v>
      </c>
      <c r="F45" s="144">
        <v>0.75</v>
      </c>
      <c r="G45" s="135">
        <f>#N/A</f>
        <v>0.050000000000000044</v>
      </c>
      <c r="H45" s="137"/>
      <c r="I45" s="136">
        <f>#N/A</f>
        <v>-1.25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" hidden="1">
      <c r="A46" s="8"/>
      <c r="B46" s="69" t="s">
        <v>270</v>
      </c>
      <c r="C46" s="204">
        <v>22090400</v>
      </c>
      <c r="D46" s="135">
        <v>5918</v>
      </c>
      <c r="E46" s="135">
        <f>84+4300</f>
        <v>4384</v>
      </c>
      <c r="F46" s="144">
        <v>4440.11</v>
      </c>
      <c r="G46" s="135">
        <f>#N/A</f>
        <v>56.10999999999967</v>
      </c>
      <c r="H46" s="137">
        <f>F46/E46*100</f>
        <v>101.2798813868613</v>
      </c>
      <c r="I46" s="136">
        <f>#N/A</f>
        <v>-1477.8900000000003</v>
      </c>
      <c r="J46" s="136">
        <f>#N/A</f>
        <v>75.02720513687055</v>
      </c>
      <c r="K46" s="136">
        <f>F46-80.35</f>
        <v>4359.759999999999</v>
      </c>
      <c r="L46" s="136">
        <f>F46/80.35*100</f>
        <v>5525.961418792782</v>
      </c>
      <c r="M46" s="35">
        <f>E46-липень!E46</f>
        <v>4312</v>
      </c>
      <c r="N46" s="35">
        <f>F46-липень!F46</f>
        <v>491.37999999999965</v>
      </c>
      <c r="O46" s="138"/>
      <c r="P46" s="50"/>
      <c r="Q46" s="50"/>
      <c r="R46" s="126"/>
    </row>
    <row r="47" spans="1:18" s="6" customFormat="1" ht="46.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>#N/A</f>
        <v>0</v>
      </c>
      <c r="H47" s="35"/>
      <c r="I47" s="50">
        <f>#N/A</f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>#N/A</f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143">
        <v>3192.65</v>
      </c>
      <c r="G48" s="43">
        <f>#N/A</f>
        <v>492.6500000000001</v>
      </c>
      <c r="H48" s="35">
        <f>F48/E48*100</f>
        <v>118.24629629629631</v>
      </c>
      <c r="I48" s="50">
        <f>#N/A</f>
        <v>-1007.3499999999999</v>
      </c>
      <c r="J48" s="50">
        <f>F48/D48*100</f>
        <v>76.01547619047619</v>
      </c>
      <c r="K48" s="50">
        <f>F48-2702.66</f>
        <v>489.99000000000024</v>
      </c>
      <c r="L48" s="50">
        <f>F48/2702.66*100</f>
        <v>118.12991645267996</v>
      </c>
      <c r="M48" s="35">
        <f>E48-липень!E48</f>
        <v>350</v>
      </c>
      <c r="N48" s="35">
        <f>F48-липень!F48</f>
        <v>580.73</v>
      </c>
      <c r="O48" s="47">
        <f>#N/A</f>
        <v>230.73000000000002</v>
      </c>
      <c r="P48" s="50">
        <f>#N/A</f>
        <v>165.92285714285714</v>
      </c>
      <c r="Q48" s="50">
        <f>N48-277.38</f>
        <v>303.35</v>
      </c>
      <c r="R48" s="126">
        <f>N48/277.38</f>
        <v>2.0936260725358715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>#N/A</f>
        <v>0</v>
      </c>
      <c r="H49" s="35" t="e">
        <f>F49/E49*100</f>
        <v>#DIV/0!</v>
      </c>
      <c r="I49" s="50">
        <f>#N/A</f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>#N/A</f>
        <v>0</v>
      </c>
      <c r="P49" s="50" t="e">
        <f>#N/A</f>
        <v>#DIV/0!</v>
      </c>
      <c r="Q49" s="50"/>
      <c r="R49" s="126">
        <f>N49/277.38</f>
        <v>0</v>
      </c>
    </row>
    <row r="50" spans="1:18" s="6" customFormat="1" ht="1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>#N/A</f>
        <v>0</v>
      </c>
      <c r="H50" s="35" t="e">
        <f>F50/E50*100</f>
        <v>#DIV/0!</v>
      </c>
      <c r="I50" s="50">
        <f>#N/A</f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>#N/A</f>
        <v>0</v>
      </c>
      <c r="P50" s="50" t="e">
        <f>#N/A</f>
        <v>#DIV/0!</v>
      </c>
      <c r="Q50" s="50"/>
      <c r="R50" s="126">
        <f>N50/277.38</f>
        <v>0</v>
      </c>
    </row>
    <row r="51" spans="1:18" s="6" customFormat="1" ht="30.75">
      <c r="A51" s="8"/>
      <c r="B51" s="69" t="s">
        <v>127</v>
      </c>
      <c r="C51" s="83"/>
      <c r="D51" s="135"/>
      <c r="E51" s="135"/>
      <c r="F51" s="144">
        <v>890.5</v>
      </c>
      <c r="G51" s="135">
        <f>#N/A</f>
        <v>890.5</v>
      </c>
      <c r="H51" s="137"/>
      <c r="I51" s="136">
        <f>#N/A</f>
        <v>890.5</v>
      </c>
      <c r="J51" s="136"/>
      <c r="K51" s="219">
        <f>F51-635.8</f>
        <v>254.70000000000005</v>
      </c>
      <c r="L51" s="219">
        <f>F51/635.8*100</f>
        <v>140.059767222397</v>
      </c>
      <c r="M51" s="137">
        <f>E51-липень!E51</f>
        <v>0</v>
      </c>
      <c r="N51" s="137">
        <f>F51-липень!F51</f>
        <v>207.29999999999995</v>
      </c>
      <c r="O51" s="138">
        <f>#N/A</f>
        <v>207.29999999999995</v>
      </c>
      <c r="P51" s="136"/>
      <c r="Q51" s="50">
        <f>N51-64.93</f>
        <v>142.36999999999995</v>
      </c>
      <c r="R51" s="126">
        <f>N51/64.93</f>
        <v>3.192669028184197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>#N/A</f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>#N/A</f>
        <v>0</v>
      </c>
      <c r="P52" s="50"/>
      <c r="Q52" s="50"/>
      <c r="R52" s="126"/>
    </row>
    <row r="53" spans="1:18" s="6" customFormat="1" ht="30.7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143">
        <v>14.42</v>
      </c>
      <c r="G53" s="43">
        <f>#N/A</f>
        <v>-2.7799999999999994</v>
      </c>
      <c r="H53" s="35">
        <f>F53/E53*100</f>
        <v>83.83720930232559</v>
      </c>
      <c r="I53" s="50">
        <f>#N/A</f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>#N/A</f>
        <v>-2.1999999999999993</v>
      </c>
      <c r="P53" s="50">
        <f>#N/A</f>
        <v>0</v>
      </c>
      <c r="Q53" s="50"/>
      <c r="R53" s="126"/>
    </row>
    <row r="54" spans="1:18" s="6" customFormat="1" ht="30.7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>#N/A</f>
        <v>0.31</v>
      </c>
      <c r="H54" s="35"/>
      <c r="I54" s="50">
        <f>#N/A</f>
        <v>0.31</v>
      </c>
      <c r="J54" s="50"/>
      <c r="K54" s="50">
        <f>F54-0.37</f>
        <v>-0.06</v>
      </c>
      <c r="L54" s="50"/>
      <c r="M54" s="35">
        <f>E54-липень!E54</f>
        <v>0</v>
      </c>
      <c r="N54" s="35">
        <f>F54-липень!F54</f>
        <v>0.21</v>
      </c>
      <c r="O54" s="47">
        <f>#N/A</f>
        <v>0.21</v>
      </c>
      <c r="P54" s="50"/>
      <c r="Q54" s="50"/>
      <c r="R54" s="126"/>
    </row>
    <row r="55" spans="1:22" s="6" customFormat="1" ht="17.2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18">
        <f>F8+F33+F53+F54</f>
        <v>451134.19</v>
      </c>
      <c r="G55" s="44">
        <f>F55-E55</f>
        <v>17950.69000000006</v>
      </c>
      <c r="H55" s="45">
        <f>F55/E55*100</f>
        <v>104.14389975610798</v>
      </c>
      <c r="I55" s="31">
        <f>F55-D55</f>
        <v>-149888.40999999997</v>
      </c>
      <c r="J55" s="31">
        <f>F55/D55*100</f>
        <v>75.06110252759214</v>
      </c>
      <c r="K55" s="31">
        <f>K8+K33+K53+K54</f>
        <v>119863.77600000001</v>
      </c>
      <c r="L55" s="31">
        <f>F55/(F55-K55)*100</f>
        <v>136.18306100827948</v>
      </c>
      <c r="M55" s="18">
        <f>M8+M33+M53+M54</f>
        <v>97825.09999999999</v>
      </c>
      <c r="N55" s="18">
        <f>N8+N33+N53+N54</f>
        <v>65522.20999999999</v>
      </c>
      <c r="O55" s="49">
        <f>N55-M55</f>
        <v>-32302.89</v>
      </c>
      <c r="P55" s="31">
        <f>N55/M55*100</f>
        <v>66.97893485414275</v>
      </c>
      <c r="Q55" s="31">
        <f>N55-34768</f>
        <v>30754.209999999992</v>
      </c>
      <c r="R55" s="171">
        <f>N55/34768</f>
        <v>1.8845550506212607</v>
      </c>
      <c r="S55" s="172"/>
      <c r="T55" s="166"/>
      <c r="U55" s="175"/>
      <c r="V55" s="175"/>
    </row>
    <row r="56" spans="1:18" s="66" customFormat="1" ht="17.2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7.2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7.2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0.7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>#N/A</f>
        <v>-49.19</v>
      </c>
      <c r="H61" s="35"/>
      <c r="I61" s="53">
        <f>#N/A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>#N/A</f>
        <v>0</v>
      </c>
      <c r="P61" s="53"/>
      <c r="Q61" s="53">
        <f>N61-24.53</f>
        <v>-24.53</v>
      </c>
      <c r="R61" s="129">
        <f>N61/24.53</f>
        <v>0</v>
      </c>
    </row>
    <row r="62" spans="2:18" ht="1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>#N/A</f>
        <v>-49.19</v>
      </c>
      <c r="H62" s="65"/>
      <c r="I62" s="54">
        <f>#N/A</f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>#N/A</f>
        <v>0</v>
      </c>
      <c r="P62" s="54"/>
      <c r="Q62" s="54">
        <f>N62-92.85</f>
        <v>-92.85</v>
      </c>
      <c r="R62" s="130">
        <f>N62/92.85</f>
        <v>0</v>
      </c>
    </row>
    <row r="63" spans="2:18" ht="46.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>#N/A</f>
        <v>0</v>
      </c>
      <c r="H63" s="35" t="e">
        <f>F63/E63*100</f>
        <v>#DIV/0!</v>
      </c>
      <c r="I63" s="53">
        <f>#N/A</f>
        <v>0</v>
      </c>
      <c r="J63" s="53" t="e">
        <f>#N/A</f>
        <v>#DIV/0!</v>
      </c>
      <c r="K63" s="53"/>
      <c r="L63" s="53"/>
      <c r="M63" s="36">
        <v>0</v>
      </c>
      <c r="N63" s="36">
        <f>F63</f>
        <v>0</v>
      </c>
      <c r="O63" s="47">
        <f>#N/A</f>
        <v>0</v>
      </c>
      <c r="P63" s="53"/>
      <c r="Q63" s="53"/>
      <c r="R63" s="129"/>
    </row>
    <row r="64" spans="2:18" ht="30.75">
      <c r="B64" s="26" t="s">
        <v>111</v>
      </c>
      <c r="C64" s="97">
        <v>31030000</v>
      </c>
      <c r="D64" s="28">
        <v>2500</v>
      </c>
      <c r="E64" s="28">
        <v>1000</v>
      </c>
      <c r="F64" s="146">
        <v>593.02</v>
      </c>
      <c r="G64" s="43">
        <f>#N/A</f>
        <v>-406.98</v>
      </c>
      <c r="H64" s="35"/>
      <c r="I64" s="53">
        <f>#N/A</f>
        <v>-1906.98</v>
      </c>
      <c r="J64" s="53">
        <f>#N/A</f>
        <v>23.7208</v>
      </c>
      <c r="K64" s="53">
        <f>F64-1754.68</f>
        <v>-1161.66</v>
      </c>
      <c r="L64" s="53">
        <f>F64/1754.68*100</f>
        <v>33.79647571067089</v>
      </c>
      <c r="M64" s="35">
        <f>E64-липень!E64</f>
        <v>600</v>
      </c>
      <c r="N64" s="35">
        <f>F64-липень!F64</f>
        <v>0.03999999999996362</v>
      </c>
      <c r="O64" s="47">
        <f>#N/A</f>
        <v>-599.96</v>
      </c>
      <c r="P64" s="53"/>
      <c r="Q64" s="53">
        <f>N64-0.04</f>
        <v>-3.63806207381856E-14</v>
      </c>
      <c r="R64" s="129">
        <f>N64/0.04</f>
        <v>0.9999999999990905</v>
      </c>
    </row>
    <row r="65" spans="2:18" ht="15">
      <c r="B65" s="26" t="s">
        <v>112</v>
      </c>
      <c r="C65" s="97">
        <v>33010000</v>
      </c>
      <c r="D65" s="28">
        <v>11576</v>
      </c>
      <c r="E65" s="28">
        <v>4733.44</v>
      </c>
      <c r="F65" s="146">
        <v>3758.64</v>
      </c>
      <c r="G65" s="43">
        <f>#N/A</f>
        <v>-974.7999999999997</v>
      </c>
      <c r="H65" s="35">
        <f>F65/E65*100</f>
        <v>79.40609789075175</v>
      </c>
      <c r="I65" s="53">
        <f>#N/A</f>
        <v>-7817.360000000001</v>
      </c>
      <c r="J65" s="53">
        <f>#N/A</f>
        <v>32.46924671734624</v>
      </c>
      <c r="K65" s="53">
        <f>F65-2291.79</f>
        <v>1466.85</v>
      </c>
      <c r="L65" s="53">
        <f>F65/2291.79*100</f>
        <v>164.00455539120077</v>
      </c>
      <c r="M65" s="35">
        <f>E65-липень!E65</f>
        <v>1020.6799999999994</v>
      </c>
      <c r="N65" s="35">
        <f>F65-липень!F65</f>
        <v>178.88999999999987</v>
      </c>
      <c r="O65" s="47">
        <f>#N/A</f>
        <v>-841.7899999999995</v>
      </c>
      <c r="P65" s="53">
        <f>N65/M65*100</f>
        <v>17.52655092683309</v>
      </c>
      <c r="Q65" s="53">
        <f>N65-450.01</f>
        <v>-271.1200000000001</v>
      </c>
      <c r="R65" s="129">
        <f>N65/450.01</f>
        <v>0.3975244994555674</v>
      </c>
    </row>
    <row r="66" spans="2:18" ht="30.75">
      <c r="B66" s="26" t="s">
        <v>156</v>
      </c>
      <c r="C66" s="97">
        <v>24170000</v>
      </c>
      <c r="D66" s="28">
        <v>3000</v>
      </c>
      <c r="E66" s="28">
        <v>1036.7</v>
      </c>
      <c r="F66" s="146">
        <v>1838.64</v>
      </c>
      <c r="G66" s="43">
        <f>#N/A</f>
        <v>801.94</v>
      </c>
      <c r="H66" s="35">
        <f>F66/E66*100</f>
        <v>177.35506896884345</v>
      </c>
      <c r="I66" s="53">
        <f>#N/A</f>
        <v>-1161.36</v>
      </c>
      <c r="J66" s="53">
        <f>#N/A</f>
        <v>61.288</v>
      </c>
      <c r="K66" s="53">
        <f>F66-864.62</f>
        <v>974.0200000000001</v>
      </c>
      <c r="L66" s="53">
        <f>F66/864.62*100</f>
        <v>212.65295736855498</v>
      </c>
      <c r="M66" s="35">
        <f>E66-липень!E66</f>
        <v>148.10000000000002</v>
      </c>
      <c r="N66" s="35">
        <f>F66-липень!F66</f>
        <v>20</v>
      </c>
      <c r="O66" s="47">
        <f>#N/A</f>
        <v>-128.10000000000002</v>
      </c>
      <c r="P66" s="53">
        <f>N66/M66*100</f>
        <v>13.504388926401079</v>
      </c>
      <c r="Q66" s="53">
        <f>N66-1.05</f>
        <v>18.95</v>
      </c>
      <c r="R66" s="129">
        <f>N66/1.05</f>
        <v>19.047619047619047</v>
      </c>
    </row>
    <row r="67" spans="2:19" ht="33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145">
        <f>F64+F65+F66</f>
        <v>6190.3</v>
      </c>
      <c r="G67" s="55">
        <f>#N/A</f>
        <v>-579.8399999999992</v>
      </c>
      <c r="H67" s="65">
        <f>F67/E67*100</f>
        <v>91.43533220878743</v>
      </c>
      <c r="I67" s="54">
        <f>#N/A</f>
        <v>-10885.7</v>
      </c>
      <c r="J67" s="54">
        <f>#N/A</f>
        <v>36.25146404310143</v>
      </c>
      <c r="K67" s="54">
        <f>K64+K65+K66</f>
        <v>1279.21</v>
      </c>
      <c r="L67" s="54"/>
      <c r="M67" s="55">
        <f>M64+M65+M66</f>
        <v>1768.7799999999993</v>
      </c>
      <c r="N67" s="55">
        <f>N64+N65+N66</f>
        <v>198.92999999999984</v>
      </c>
      <c r="O67" s="54">
        <f>#N/A</f>
        <v>-1569.8499999999995</v>
      </c>
      <c r="P67" s="54">
        <f>N67/M67*100</f>
        <v>11.246735037709604</v>
      </c>
      <c r="Q67" s="54">
        <f>N67-7985.28</f>
        <v>-7786.35</v>
      </c>
      <c r="R67" s="173">
        <f>N67/7985.28</f>
        <v>0.024912088242365935</v>
      </c>
      <c r="S67" s="174"/>
    </row>
    <row r="68" spans="2:18" ht="46.5">
      <c r="B68" s="14" t="s">
        <v>124</v>
      </c>
      <c r="C68" s="100">
        <v>24062100</v>
      </c>
      <c r="D68" s="28">
        <v>35</v>
      </c>
      <c r="E68" s="28">
        <v>15</v>
      </c>
      <c r="F68" s="146">
        <v>0.18</v>
      </c>
      <c r="G68" s="43">
        <f>#N/A</f>
        <v>-14.82</v>
      </c>
      <c r="H68" s="35"/>
      <c r="I68" s="53">
        <f>#N/A</f>
        <v>-34.82</v>
      </c>
      <c r="J68" s="53">
        <f>#N/A</f>
        <v>0.5142857142857142</v>
      </c>
      <c r="K68" s="53">
        <f>F68-14.17</f>
        <v>-13.99</v>
      </c>
      <c r="L68" s="53">
        <f>F68/14.17*100</f>
        <v>1.270289343683839</v>
      </c>
      <c r="M68" s="35">
        <f>E68-липень!E68</f>
        <v>1</v>
      </c>
      <c r="N68" s="35">
        <f>F68-липень!F68</f>
        <v>0.09</v>
      </c>
      <c r="O68" s="47">
        <f>#N/A</f>
        <v>-0.91</v>
      </c>
      <c r="P68" s="53"/>
      <c r="Q68" s="53">
        <f>N68-0.16</f>
        <v>-0.07</v>
      </c>
      <c r="R68" s="129">
        <f>N68/0.16</f>
        <v>0.5625</v>
      </c>
    </row>
    <row r="69" spans="2:18" ht="1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0.7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F70-0.85</f>
        <v>0.030000000000000027</v>
      </c>
      <c r="L70" s="53">
        <f>F70/0.85*100</f>
        <v>103.5294117647059</v>
      </c>
      <c r="M70" s="35">
        <f>E70-липень!E70</f>
        <v>0</v>
      </c>
      <c r="N70" s="35">
        <f>F70-липень!F70</f>
        <v>0.16000000000000003</v>
      </c>
      <c r="O70" s="47">
        <f>N70-M70</f>
        <v>0.16000000000000003</v>
      </c>
      <c r="P70" s="53"/>
      <c r="Q70" s="53">
        <f>N70-(-0.21)</f>
        <v>0.37</v>
      </c>
      <c r="R70" s="129"/>
    </row>
    <row r="71" spans="2:18" ht="30">
      <c r="B71" s="32" t="s">
        <v>134</v>
      </c>
      <c r="C71" s="97"/>
      <c r="D71" s="33">
        <f>D68+D70+D69</f>
        <v>54</v>
      </c>
      <c r="E71" s="33">
        <f>E68+E70+E69</f>
        <v>27</v>
      </c>
      <c r="F71" s="145">
        <f>F68+F70+F69</f>
        <v>1.06</v>
      </c>
      <c r="G71" s="55">
        <f>F71-E71</f>
        <v>-25.94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-33.44</v>
      </c>
      <c r="L71" s="54"/>
      <c r="M71" s="55">
        <f>M68+M70+M69</f>
        <v>1</v>
      </c>
      <c r="N71" s="55">
        <f>N68+N70+N69</f>
        <v>0.25</v>
      </c>
      <c r="O71" s="54">
        <f>N71-M71</f>
        <v>-0.75</v>
      </c>
      <c r="P71" s="54"/>
      <c r="Q71" s="54">
        <f>N71-26.38</f>
        <v>-26.13</v>
      </c>
      <c r="R71" s="128">
        <f>N71/26.38</f>
        <v>0.009476876421531463</v>
      </c>
    </row>
    <row r="72" spans="2:18" ht="30.75">
      <c r="B72" s="14" t="s">
        <v>125</v>
      </c>
      <c r="C72" s="59">
        <v>24110900</v>
      </c>
      <c r="D72" s="28">
        <v>42</v>
      </c>
      <c r="E72" s="28">
        <v>23.22</v>
      </c>
      <c r="F72" s="146">
        <v>21.06</v>
      </c>
      <c r="G72" s="43">
        <f>F72-E72</f>
        <v>-2.16</v>
      </c>
      <c r="H72" s="35">
        <f>F72/E72*100</f>
        <v>90.69767441860465</v>
      </c>
      <c r="I72" s="53">
        <f>F72-D72</f>
        <v>-20.94</v>
      </c>
      <c r="J72" s="53">
        <f>F72/D72*100</f>
        <v>50.142857142857146</v>
      </c>
      <c r="K72" s="53">
        <f>F72-22.62</f>
        <v>-1.5600000000000023</v>
      </c>
      <c r="L72" s="53">
        <f>F72/22.62*100</f>
        <v>93.10344827586205</v>
      </c>
      <c r="M72" s="35">
        <f>E72-липень!E72</f>
        <v>0.23000000000000043</v>
      </c>
      <c r="N72" s="35">
        <f>F72-липень!F72</f>
        <v>0.509999999999998</v>
      </c>
      <c r="O72" s="47">
        <f>N72-M72</f>
        <v>0.2799999999999976</v>
      </c>
      <c r="P72" s="53">
        <f>N72/M72*100</f>
        <v>221.73913043478132</v>
      </c>
      <c r="Q72" s="53">
        <f>N72-0.45</f>
        <v>0.059999999999998</v>
      </c>
      <c r="R72" s="129">
        <f>N72/0.45</f>
        <v>1.1333333333333289</v>
      </c>
    </row>
    <row r="73" spans="2:18" ht="1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7">
        <f>F62+F72+F67+F71+F73</f>
        <v>6163.43</v>
      </c>
      <c r="G74" s="44">
        <f>F74-E74</f>
        <v>-656.9299999999994</v>
      </c>
      <c r="H74" s="45">
        <f>F74/E74*100</f>
        <v>90.36810373645967</v>
      </c>
      <c r="I74" s="31">
        <f>F74-D74</f>
        <v>-11008.57</v>
      </c>
      <c r="J74" s="31">
        <f>F74/D74*100</f>
        <v>35.89232471465176</v>
      </c>
      <c r="K74" s="31">
        <f>K62+K67+K71+K72</f>
        <v>988.6600000000001</v>
      </c>
      <c r="L74" s="31"/>
      <c r="M74" s="27">
        <f>M62+M72+M67+M71</f>
        <v>1770.0099999999993</v>
      </c>
      <c r="N74" s="27">
        <f>N62+N72+N67+N71+N73</f>
        <v>199.68999999999983</v>
      </c>
      <c r="O74" s="31">
        <f>N74-M74</f>
        <v>-1570.3199999999995</v>
      </c>
      <c r="P74" s="31">
        <f>N74/M74*100</f>
        <v>11.281857164648782</v>
      </c>
      <c r="Q74" s="31">
        <f>N74-8104.96</f>
        <v>-7905.27</v>
      </c>
      <c r="R74" s="127">
        <f>N74/8104.96</f>
        <v>0.02463799944725203</v>
      </c>
    </row>
    <row r="75" spans="2:18" ht="17.2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7">
        <f>F55+F74</f>
        <v>457297.62</v>
      </c>
      <c r="G75" s="44">
        <f>F75-E75</f>
        <v>17293.760000000068</v>
      </c>
      <c r="H75" s="45">
        <f>F75/E75*100</f>
        <v>103.93036551997523</v>
      </c>
      <c r="I75" s="31">
        <f>F75-D75</f>
        <v>-160896.97999999998</v>
      </c>
      <c r="J75" s="31">
        <f>F75/D75*100</f>
        <v>73.97308549767338</v>
      </c>
      <c r="K75" s="31">
        <f>K55+K74</f>
        <v>120852.43600000002</v>
      </c>
      <c r="L75" s="31">
        <f>F75/(F75-K75)*100</f>
        <v>135.92039409308353</v>
      </c>
      <c r="M75" s="18">
        <f>M55+M74</f>
        <v>99595.10999999999</v>
      </c>
      <c r="N75" s="18">
        <f>N55+N74</f>
        <v>65721.9</v>
      </c>
      <c r="O75" s="31">
        <f>N75-M75</f>
        <v>-33873.20999999999</v>
      </c>
      <c r="P75" s="31">
        <f>N75/M75*100</f>
        <v>65.9890831989643</v>
      </c>
      <c r="Q75" s="31">
        <f>N75-42872.96</f>
        <v>22848.939999999995</v>
      </c>
      <c r="R75" s="127">
        <f>N75/42872.96</f>
        <v>1.532945241009718</v>
      </c>
    </row>
    <row r="76" spans="2:14" ht="15">
      <c r="B76" s="23" t="s">
        <v>117</v>
      </c>
      <c r="N76" s="29"/>
    </row>
    <row r="77" spans="2:4" ht="15">
      <c r="B77" s="4" t="s">
        <v>119</v>
      </c>
      <c r="C77" s="101">
        <v>0</v>
      </c>
      <c r="D77" s="4" t="s">
        <v>118</v>
      </c>
    </row>
    <row r="78" spans="2:17" ht="30.75">
      <c r="B78" s="71" t="s">
        <v>154</v>
      </c>
      <c r="C78" s="34" t="e">
        <f>IF(O55&lt;0,ABS(O55/C77),0)</f>
        <v>#DIV/0!</v>
      </c>
      <c r="D78" s="4" t="s">
        <v>104</v>
      </c>
      <c r="G78" s="266"/>
      <c r="H78" s="266"/>
      <c r="I78" s="266"/>
      <c r="J78" s="266"/>
      <c r="K78" s="115"/>
      <c r="L78" s="115"/>
      <c r="P78" s="29"/>
      <c r="Q78" s="29"/>
    </row>
    <row r="79" spans="2:15" ht="34.5" customHeight="1">
      <c r="B79" s="72" t="s">
        <v>159</v>
      </c>
      <c r="C79" s="111">
        <v>42247</v>
      </c>
      <c r="D79" s="34">
        <v>2853.5</v>
      </c>
      <c r="N79" s="263"/>
      <c r="O79" s="263"/>
    </row>
    <row r="80" spans="3:15" ht="15">
      <c r="C80" s="111">
        <v>42244</v>
      </c>
      <c r="D80" s="34">
        <v>8323.9</v>
      </c>
      <c r="F80" s="155" t="s">
        <v>166</v>
      </c>
      <c r="G80" s="261"/>
      <c r="H80" s="261"/>
      <c r="I80" s="177"/>
      <c r="J80" s="265"/>
      <c r="K80" s="265"/>
      <c r="L80" s="265"/>
      <c r="M80" s="265"/>
      <c r="N80" s="263"/>
      <c r="O80" s="263"/>
    </row>
    <row r="81" spans="3:15" ht="15.75" customHeight="1">
      <c r="C81" s="111">
        <v>42243</v>
      </c>
      <c r="D81" s="34">
        <v>4177.3</v>
      </c>
      <c r="F81" s="90"/>
      <c r="G81" s="261"/>
      <c r="H81" s="261"/>
      <c r="I81" s="177"/>
      <c r="J81" s="262"/>
      <c r="K81" s="262"/>
      <c r="L81" s="262"/>
      <c r="M81" s="262"/>
      <c r="N81" s="263"/>
      <c r="O81" s="263"/>
    </row>
    <row r="82" spans="3:13" ht="15.75" customHeight="1">
      <c r="C82" s="111"/>
      <c r="F82" s="90"/>
      <c r="G82" s="264"/>
      <c r="H82" s="264"/>
      <c r="I82" s="221"/>
      <c r="J82" s="265"/>
      <c r="K82" s="265"/>
      <c r="L82" s="265"/>
      <c r="M82" s="265"/>
    </row>
    <row r="83" spans="2:13" ht="18.75" customHeight="1">
      <c r="B83" s="270" t="s">
        <v>160</v>
      </c>
      <c r="C83" s="271"/>
      <c r="D83" s="108">
        <v>2162.07</v>
      </c>
      <c r="E83" s="220"/>
      <c r="F83" s="222"/>
      <c r="G83" s="261"/>
      <c r="H83" s="261"/>
      <c r="I83" s="223"/>
      <c r="J83" s="265"/>
      <c r="K83" s="265"/>
      <c r="L83" s="265"/>
      <c r="M83" s="265"/>
    </row>
    <row r="84" spans="6:12" ht="9.75" customHeight="1">
      <c r="F84" s="90"/>
      <c r="G84" s="261"/>
      <c r="H84" s="261"/>
      <c r="I84" s="90"/>
      <c r="J84" s="91"/>
      <c r="K84" s="91"/>
      <c r="L84" s="91"/>
    </row>
    <row r="85" spans="2:12" ht="22.5" customHeight="1" hidden="1">
      <c r="B85" s="267" t="s">
        <v>167</v>
      </c>
      <c r="C85" s="268"/>
      <c r="D85" s="110">
        <v>0</v>
      </c>
      <c r="E85" s="70" t="s">
        <v>104</v>
      </c>
      <c r="F85" s="90"/>
      <c r="G85" s="261"/>
      <c r="H85" s="261"/>
      <c r="I85" s="90"/>
      <c r="J85" s="91"/>
      <c r="K85" s="91"/>
      <c r="L85" s="91"/>
    </row>
    <row r="86" spans="4:15" ht="15">
      <c r="D86" s="105"/>
      <c r="F86" s="90"/>
      <c r="G86" s="91"/>
      <c r="H86" s="91"/>
      <c r="I86" s="91"/>
      <c r="N86" s="261"/>
      <c r="O86" s="261"/>
    </row>
    <row r="87" spans="4:15" ht="15">
      <c r="D87" s="104"/>
      <c r="I87" s="34"/>
      <c r="N87" s="269"/>
      <c r="O87" s="269"/>
    </row>
    <row r="88" spans="14:15" ht="15">
      <c r="N88" s="261"/>
      <c r="O88" s="261"/>
    </row>
    <row r="92" ht="15">
      <c r="E92" s="4" t="s">
        <v>166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78:J78"/>
    <mergeCell ref="N79:O79"/>
    <mergeCell ref="G80:H80"/>
    <mergeCell ref="J80:M80"/>
    <mergeCell ref="N80:O80"/>
    <mergeCell ref="J4:J5"/>
    <mergeCell ref="N4:N5"/>
    <mergeCell ref="O4:O5"/>
    <mergeCell ref="K5:L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2" top="0.25" bottom="0.26" header="0.14" footer="0.17"/>
  <pageSetup fitToHeight="1" fitToWidth="1"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showFormulas="1" zoomScale="75" zoomScaleNormal="75" zoomScalePageLayoutView="0" workbookViewId="0" topLeftCell="B1">
      <pane xSplit="2" ySplit="8" topLeftCell="E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9" sqref="G9"/>
    </sheetView>
  </sheetViews>
  <sheetFormatPr defaultColWidth="9.1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50390625" style="4" customWidth="1"/>
    <col min="9" max="9" width="12.75390625" style="4" customWidth="1"/>
    <col min="10" max="10" width="9.50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7" t="s">
        <v>289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117"/>
      <c r="R1" s="118"/>
    </row>
    <row r="2" spans="2:18" s="1" customFormat="1" ht="15.75" customHeight="1">
      <c r="B2" s="248"/>
      <c r="C2" s="248"/>
      <c r="D2" s="24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49"/>
      <c r="B3" s="276"/>
      <c r="C3" s="252" t="s">
        <v>0</v>
      </c>
      <c r="D3" s="274" t="s">
        <v>261</v>
      </c>
      <c r="E3" s="40"/>
      <c r="F3" s="253" t="s">
        <v>107</v>
      </c>
      <c r="G3" s="254"/>
      <c r="H3" s="254"/>
      <c r="I3" s="254"/>
      <c r="J3" s="275"/>
      <c r="K3" s="114"/>
      <c r="L3" s="114"/>
      <c r="M3" s="255" t="s">
        <v>285</v>
      </c>
      <c r="N3" s="236" t="s">
        <v>286</v>
      </c>
      <c r="O3" s="236"/>
      <c r="P3" s="236"/>
      <c r="Q3" s="236"/>
      <c r="R3" s="236"/>
    </row>
    <row r="4" spans="1:18" ht="22.5" customHeight="1">
      <c r="A4" s="249"/>
      <c r="B4" s="276"/>
      <c r="C4" s="252"/>
      <c r="D4" s="274"/>
      <c r="E4" s="237" t="s">
        <v>282</v>
      </c>
      <c r="F4" s="239" t="s">
        <v>116</v>
      </c>
      <c r="G4" s="272" t="s">
        <v>283</v>
      </c>
      <c r="H4" s="243" t="s">
        <v>284</v>
      </c>
      <c r="I4" s="241" t="s">
        <v>217</v>
      </c>
      <c r="J4" s="256" t="s">
        <v>218</v>
      </c>
      <c r="K4" s="116" t="s">
        <v>172</v>
      </c>
      <c r="L4" s="121" t="s">
        <v>171</v>
      </c>
      <c r="M4" s="256"/>
      <c r="N4" s="258" t="s">
        <v>290</v>
      </c>
      <c r="O4" s="241" t="s">
        <v>136</v>
      </c>
      <c r="P4" s="260" t="s">
        <v>135</v>
      </c>
      <c r="Q4" s="122" t="s">
        <v>172</v>
      </c>
      <c r="R4" s="123" t="s">
        <v>171</v>
      </c>
    </row>
    <row r="5" spans="1:19" ht="92.25" customHeight="1">
      <c r="A5" s="250"/>
      <c r="B5" s="276"/>
      <c r="C5" s="252"/>
      <c r="D5" s="274"/>
      <c r="E5" s="238"/>
      <c r="F5" s="240"/>
      <c r="G5" s="273"/>
      <c r="H5" s="244"/>
      <c r="I5" s="242"/>
      <c r="J5" s="257"/>
      <c r="K5" s="245" t="s">
        <v>287</v>
      </c>
      <c r="L5" s="246"/>
      <c r="M5" s="257"/>
      <c r="N5" s="259"/>
      <c r="O5" s="242"/>
      <c r="P5" s="260"/>
      <c r="Q5" s="245" t="s">
        <v>176</v>
      </c>
      <c r="R5" s="24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7.2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>#N/A</f>
        <v>38598.830000000016</v>
      </c>
      <c r="H8" s="45">
        <f>F8/E8*100</f>
        <v>111.76171804296145</v>
      </c>
      <c r="I8" s="31">
        <f>#N/A</f>
        <v>-205516.77000000002</v>
      </c>
      <c r="J8" s="31">
        <f>#N/A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>#N/A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>#N/A</f>
        <v>15129.790000000008</v>
      </c>
      <c r="H9" s="35">
        <f>#N/A</f>
        <v>108.0347405122497</v>
      </c>
      <c r="I9" s="50">
        <f>#N/A</f>
        <v>-109255.56</v>
      </c>
      <c r="J9" s="50">
        <f>#N/A</f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>#N/A</f>
        <v>3908.720000000001</v>
      </c>
      <c r="P9" s="50">
        <f>#N/A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" hidden="1">
      <c r="A10" s="8"/>
      <c r="B10" s="183" t="s">
        <v>253</v>
      </c>
      <c r="C10" s="134">
        <v>11010100</v>
      </c>
      <c r="D10" s="135">
        <v>270410</v>
      </c>
      <c r="E10" s="135">
        <v>165230.25</v>
      </c>
      <c r="F10" s="144">
        <v>180069.97</v>
      </c>
      <c r="G10" s="135">
        <f>#N/A</f>
        <v>14839.720000000001</v>
      </c>
      <c r="H10" s="137">
        <f>#N/A</f>
        <v>108.9812367892683</v>
      </c>
      <c r="I10" s="136">
        <f>#N/A</f>
        <v>-90340.03</v>
      </c>
      <c r="J10" s="136">
        <f>#N/A</f>
        <v>66.59146111460375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>#N/A</f>
        <v>4107.070000000007</v>
      </c>
      <c r="P10" s="136">
        <f>#N/A</f>
        <v>117.30312605325248</v>
      </c>
      <c r="Q10" s="50"/>
      <c r="R10" s="126"/>
    </row>
    <row r="11" spans="1:18" s="6" customFormat="1" ht="1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>#N/A</f>
        <v>-1916.6100000000006</v>
      </c>
      <c r="H11" s="137">
        <f>#N/A</f>
        <v>84.91808309726156</v>
      </c>
      <c r="I11" s="136">
        <f>#N/A</f>
        <v>-12908.61</v>
      </c>
      <c r="J11" s="136">
        <f>#N/A</f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>#N/A</f>
        <v>-341.71000000000095</v>
      </c>
      <c r="P11" s="136">
        <f>#N/A</f>
        <v>82.20260416666662</v>
      </c>
      <c r="Q11" s="50"/>
      <c r="R11" s="126"/>
    </row>
    <row r="12" spans="1:18" s="6" customFormat="1" ht="1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>#N/A</f>
        <v>223.92000000000007</v>
      </c>
      <c r="H12" s="137">
        <f>#N/A</f>
        <v>107.91516436903498</v>
      </c>
      <c r="I12" s="136">
        <f>#N/A</f>
        <v>-2747.08</v>
      </c>
      <c r="J12" s="136">
        <f>#N/A</f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>#N/A</f>
        <v>130.38999999999987</v>
      </c>
      <c r="P12" s="136">
        <f>#N/A</f>
        <v>139.51212121212117</v>
      </c>
      <c r="Q12" s="50"/>
      <c r="R12" s="126"/>
    </row>
    <row r="13" spans="1:18" s="6" customFormat="1" ht="1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>#N/A</f>
        <v>-1053.3799999999997</v>
      </c>
      <c r="H13" s="137">
        <f>#N/A</f>
        <v>79.39961669339384</v>
      </c>
      <c r="I13" s="136">
        <f>#N/A</f>
        <v>-4339.98</v>
      </c>
      <c r="J13" s="136">
        <f>#N/A</f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>#N/A</f>
        <v>-493.3899999999994</v>
      </c>
      <c r="P13" s="136">
        <f>#N/A</f>
        <v>72.12485875706217</v>
      </c>
      <c r="Q13" s="50"/>
      <c r="R13" s="126"/>
    </row>
    <row r="14" spans="1:18" s="6" customFormat="1" ht="1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>#N/A</f>
        <v>3036.12</v>
      </c>
      <c r="H14" s="137">
        <f>#N/A</f>
        <v>225.25247524752476</v>
      </c>
      <c r="I14" s="136">
        <f>#N/A</f>
        <v>1080.12</v>
      </c>
      <c r="J14" s="136">
        <f>#N/A</f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>#N/A</f>
        <v>506.34999999999945</v>
      </c>
      <c r="P14" s="136">
        <f>#N/A</f>
        <v>229.8333333333332</v>
      </c>
      <c r="Q14" s="50"/>
      <c r="R14" s="126"/>
    </row>
    <row r="15" spans="1:18" s="6" customFormat="1" ht="30.7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>#N/A</f>
        <v>-960.06</v>
      </c>
      <c r="H15" s="35"/>
      <c r="I15" s="50">
        <f>#N/A</f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>#N/A</f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>#N/A</f>
        <v>-1286.14</v>
      </c>
      <c r="H16" s="137"/>
      <c r="I16" s="136">
        <f>#N/A</f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>#N/A</f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0.7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0.7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>#N/A</f>
        <v>2.8000000000000007</v>
      </c>
      <c r="H18" s="35">
        <f>#N/A</f>
        <v>121.53846153846155</v>
      </c>
      <c r="I18" s="50">
        <f>#N/A</f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>#N/A</f>
        <v>0</v>
      </c>
      <c r="P18" s="50" t="e">
        <f>#N/A</f>
        <v>#DIV/0!</v>
      </c>
      <c r="Q18" s="50"/>
      <c r="R18" s="126"/>
    </row>
    <row r="19" spans="1:18" s="6" customFormat="1" ht="46.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>#N/A</f>
        <v>10901.86</v>
      </c>
      <c r="H19" s="35">
        <f>#N/A</f>
        <v>141.57405306460993</v>
      </c>
      <c r="I19" s="50">
        <f>#N/A</f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>#N/A</f>
        <v>4288.116000000002</v>
      </c>
      <c r="P19" s="50">
        <f>#N/A</f>
        <v>257.6513235294118</v>
      </c>
      <c r="Q19" s="139"/>
      <c r="R19" s="140"/>
    </row>
    <row r="20" spans="1:18" s="6" customFormat="1" ht="1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>#N/A</f>
        <v>13497.290000000008</v>
      </c>
      <c r="H20" s="35">
        <f>#N/A</f>
        <v>112.33083043348375</v>
      </c>
      <c r="I20" s="50">
        <f>#N/A</f>
        <v>-66913.01</v>
      </c>
      <c r="J20" s="178">
        <f>#N/A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>#N/A</f>
        <v>6808.838999999993</v>
      </c>
      <c r="P20" s="50">
        <f>#N/A</f>
        <v>143.35790700340038</v>
      </c>
      <c r="Q20" s="139"/>
      <c r="R20" s="140"/>
    </row>
    <row r="21" spans="1:18" s="6" customFormat="1" ht="1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>#N/A</f>
        <v>10363.979999999996</v>
      </c>
      <c r="H21" s="35">
        <f>#N/A</f>
        <v>118.02331000709525</v>
      </c>
      <c r="I21" s="50">
        <f>#N/A</f>
        <v>-42432.82000000001</v>
      </c>
      <c r="J21" s="178">
        <f>#N/A</f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>#N/A</f>
        <v>3963.863999999987</v>
      </c>
      <c r="P21" s="50">
        <f>#N/A</f>
        <v>143.33986442160494</v>
      </c>
      <c r="Q21" s="139"/>
      <c r="R21" s="140"/>
    </row>
    <row r="22" spans="1:18" s="6" customFormat="1" ht="1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>#N/A</f>
        <v>7876.79</v>
      </c>
      <c r="H22" s="137">
        <f>#N/A</f>
        <v>1459.9430248618783</v>
      </c>
      <c r="I22" s="136">
        <f>#N/A</f>
        <v>-2244.01</v>
      </c>
      <c r="J22" s="136">
        <f>#N/A</f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>#N/A</f>
        <v>3285.8869999999997</v>
      </c>
      <c r="P22" s="136">
        <f>#N/A</f>
        <v>1642.6699530516426</v>
      </c>
      <c r="Q22" s="139"/>
      <c r="R22" s="140"/>
    </row>
    <row r="23" spans="1:18" s="6" customFormat="1" ht="1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>#N/A</f>
        <v>398.20000000000005</v>
      </c>
      <c r="H23" s="137"/>
      <c r="I23" s="136">
        <f>#N/A</f>
        <v>-1326.8</v>
      </c>
      <c r="J23" s="136">
        <f>#N/A</f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>#N/A</f>
        <v>437.52</v>
      </c>
      <c r="P23" s="136"/>
      <c r="Q23" s="139"/>
      <c r="R23" s="140"/>
    </row>
    <row r="24" spans="1:18" s="6" customFormat="1" ht="1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>#N/A</f>
        <v>2088.989999999998</v>
      </c>
      <c r="H24" s="137">
        <f>#N/A</f>
        <v>103.694123680348</v>
      </c>
      <c r="I24" s="136">
        <f>#N/A</f>
        <v>-38862.01</v>
      </c>
      <c r="J24" s="136">
        <f>#N/A</f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>#N/A</f>
        <v>240.45699999999488</v>
      </c>
      <c r="P24" s="136">
        <f>#N/A</f>
        <v>102.7299841053587</v>
      </c>
      <c r="Q24" s="139"/>
      <c r="R24" s="140"/>
    </row>
    <row r="25" spans="1:18" s="6" customFormat="1" ht="1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>#N/A</f>
        <v>11.659999999999997</v>
      </c>
      <c r="H25" s="35">
        <f>#N/A</f>
        <v>138.86666666666665</v>
      </c>
      <c r="I25" s="50">
        <f>#N/A</f>
        <v>-28.340000000000003</v>
      </c>
      <c r="J25" s="178">
        <f>#N/A</f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>#N/A</f>
        <v>-3.5640000000000036</v>
      </c>
      <c r="P25" s="50">
        <f>#N/A</f>
        <v>54.30769230769227</v>
      </c>
      <c r="Q25" s="139"/>
      <c r="R25" s="140"/>
    </row>
    <row r="26" spans="1:18" s="6" customFormat="1" ht="30.7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>#N/A</f>
        <v>-530.36</v>
      </c>
      <c r="H26" s="35"/>
      <c r="I26" s="50">
        <f>#N/A</f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>#N/A</f>
        <v>-127.00100000000003</v>
      </c>
      <c r="P26" s="50"/>
      <c r="Q26" s="139"/>
      <c r="R26" s="140"/>
    </row>
    <row r="27" spans="1:18" s="6" customFormat="1" ht="1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>#N/A</f>
        <v>3652.010000000002</v>
      </c>
      <c r="H27" s="35">
        <f>#N/A</f>
        <v>107.03303708125908</v>
      </c>
      <c r="I27" s="50">
        <f>#N/A</f>
        <v>-23921.489999999998</v>
      </c>
      <c r="J27" s="178">
        <f>#N/A</f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>#N/A</f>
        <v>2975.540000000001</v>
      </c>
      <c r="P27" s="50">
        <f>#N/A</f>
        <v>145.42809160305345</v>
      </c>
      <c r="Q27" s="139"/>
      <c r="R27" s="140"/>
    </row>
    <row r="28" spans="1:18" s="6" customFormat="1" ht="1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>#N/A</f>
        <v>-1.2</v>
      </c>
      <c r="H28" s="137"/>
      <c r="I28" s="136">
        <f>#N/A</f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>#N/A</f>
        <v>0</v>
      </c>
      <c r="P28" s="136"/>
      <c r="Q28" s="139"/>
      <c r="R28" s="140"/>
    </row>
    <row r="29" spans="1:18" s="6" customFormat="1" ht="1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>#N/A</f>
        <v>838.8600000000006</v>
      </c>
      <c r="H29" s="137">
        <f>#N/A</f>
        <v>106.85343137254904</v>
      </c>
      <c r="I29" s="136">
        <f>#N/A</f>
        <v>-3421.1399999999994</v>
      </c>
      <c r="J29" s="136">
        <f>#N/A</f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>#N/A</f>
        <v>455.7000000000007</v>
      </c>
      <c r="P29" s="136"/>
      <c r="Q29" s="139"/>
      <c r="R29" s="140"/>
    </row>
    <row r="30" spans="1:18" s="6" customFormat="1" ht="1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>#N/A</f>
        <v>2804.540000000001</v>
      </c>
      <c r="H30" s="137">
        <f>#N/A</f>
        <v>107.06673553979313</v>
      </c>
      <c r="I30" s="136">
        <f>#N/A</f>
        <v>-9508.96</v>
      </c>
      <c r="J30" s="136">
        <f>#N/A</f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>#N/A</f>
        <v>2518.1900000000023</v>
      </c>
      <c r="P30" s="136"/>
      <c r="Q30" s="139"/>
      <c r="R30" s="140"/>
    </row>
    <row r="31" spans="1:18" s="6" customFormat="1" ht="1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>#N/A</f>
        <v>9.8</v>
      </c>
      <c r="H31" s="137"/>
      <c r="I31" s="136">
        <f>#N/A</f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>#N/A</f>
        <v>1.6300000000000008</v>
      </c>
      <c r="P31" s="136"/>
      <c r="Q31" s="139"/>
      <c r="R31" s="140"/>
    </row>
    <row r="32" spans="1:18" s="6" customFormat="1" ht="1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>#N/A</f>
        <v>27.059999999999945</v>
      </c>
      <c r="H32" s="35">
        <f>#N/A</f>
        <v>100.67616191904048</v>
      </c>
      <c r="I32" s="50">
        <f>#N/A</f>
        <v>-3470.94</v>
      </c>
      <c r="J32" s="178">
        <f>#N/A</f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>#N/A</f>
        <v>1.0599999999999454</v>
      </c>
      <c r="P32" s="50">
        <f>#N/A</f>
        <v>114.72222222222183</v>
      </c>
      <c r="Q32" s="139"/>
      <c r="R32" s="140"/>
    </row>
    <row r="33" spans="1:18" s="6" customFormat="1" ht="17.2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>#N/A</f>
        <v>11655.23</v>
      </c>
      <c r="H33" s="45">
        <f>F33/E33*100</f>
        <v>262.5555090655509</v>
      </c>
      <c r="I33" s="31">
        <f>#N/A</f>
        <v>-9881.869999999999</v>
      </c>
      <c r="J33" s="31">
        <f>#N/A</f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>#N/A</f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6.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>#N/A</f>
        <v>1.4000000000000057</v>
      </c>
      <c r="H34" s="35">
        <f>F34/E34*100</f>
        <v>101.4</v>
      </c>
      <c r="I34" s="50">
        <f>#N/A</f>
        <v>1.4000000000000057</v>
      </c>
      <c r="J34" s="50">
        <f>#N/A</f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>#N/A</f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0.7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>#N/A</f>
        <v>0</v>
      </c>
      <c r="H35" s="35"/>
      <c r="I35" s="50">
        <f>#N/A</f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>#N/A</f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>#N/A</f>
        <v>246.49</v>
      </c>
      <c r="H36" s="35"/>
      <c r="I36" s="50">
        <f>#N/A</f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>#N/A</f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0.7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>#N/A</f>
        <v>-3</v>
      </c>
      <c r="H37" s="35">
        <f>F37/E37*100</f>
        <v>0</v>
      </c>
      <c r="I37" s="50">
        <f>#N/A</f>
        <v>-6.5</v>
      </c>
      <c r="J37" s="50">
        <f>#N/A</f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>#N/A</f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>#N/A</f>
        <v>10.239999999999995</v>
      </c>
      <c r="H38" s="35">
        <f>F38/E38*100</f>
        <v>112.79999999999998</v>
      </c>
      <c r="I38" s="50">
        <f>#N/A</f>
        <v>-49.760000000000005</v>
      </c>
      <c r="J38" s="50">
        <f>#N/A</f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>#N/A</f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6.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>#N/A</f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0.7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>#N/A</f>
        <v>1071.7399999999998</v>
      </c>
      <c r="H41" s="35">
        <f>F41/E41*100</f>
        <v>126.33267813267813</v>
      </c>
      <c r="I41" s="50">
        <f>#N/A</f>
        <v>-1758.2600000000002</v>
      </c>
      <c r="J41" s="50">
        <f>#N/A</f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>#N/A</f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>#N/A</f>
        <v>4130.18</v>
      </c>
      <c r="H42" s="35">
        <f>F42/E42*100</f>
        <v>834.9074733096085</v>
      </c>
      <c r="I42" s="50">
        <f>#N/A</f>
        <v>-2407.8199999999997</v>
      </c>
      <c r="J42" s="50">
        <f>#N/A</f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>#N/A</f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>#N/A</f>
        <v>183.58000000000004</v>
      </c>
      <c r="H43" s="137">
        <f>F43/E43*100</f>
        <v>137.465306122449</v>
      </c>
      <c r="I43" s="136">
        <f>#N/A</f>
        <v>-296.41999999999996</v>
      </c>
      <c r="J43" s="136">
        <f>#N/A</f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>#N/A</f>
        <v>45.43</v>
      </c>
      <c r="H44" s="137"/>
      <c r="I44" s="136">
        <f>#N/A</f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>#N/A</f>
        <v>0.75</v>
      </c>
      <c r="H45" s="137"/>
      <c r="I45" s="136">
        <f>#N/A</f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>#N/A</f>
        <v>3876.73</v>
      </c>
      <c r="H46" s="137">
        <f>F46/E46*100</f>
        <v>5484.347222222223</v>
      </c>
      <c r="I46" s="136">
        <f>#N/A</f>
        <v>3818.73</v>
      </c>
      <c r="J46" s="136">
        <f>#N/A</f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6.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>#N/A</f>
        <v>0</v>
      </c>
      <c r="H47" s="35"/>
      <c r="I47" s="50">
        <f>#N/A</f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>#N/A</f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>#N/A</f>
        <v>261.9200000000001</v>
      </c>
      <c r="H48" s="35">
        <f>F48/E48*100</f>
        <v>111.14553191489362</v>
      </c>
      <c r="I48" s="50">
        <f>#N/A</f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>#N/A</f>
        <v>5.769999999999982</v>
      </c>
      <c r="P48" s="50">
        <f>#N/A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>#N/A</f>
        <v>0</v>
      </c>
      <c r="H49" s="35" t="e">
        <f>F49/E49*100</f>
        <v>#DIV/0!</v>
      </c>
      <c r="I49" s="50">
        <f>#N/A</f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>#N/A</f>
        <v>0</v>
      </c>
      <c r="P49" s="50" t="e">
        <f>#N/A</f>
        <v>#DIV/0!</v>
      </c>
      <c r="Q49" s="50"/>
      <c r="R49" s="126">
        <f>N49/277.38</f>
        <v>0</v>
      </c>
    </row>
    <row r="50" spans="1:18" s="6" customFormat="1" ht="1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>#N/A</f>
        <v>0</v>
      </c>
      <c r="H50" s="35" t="e">
        <f>F50/E50*100</f>
        <v>#DIV/0!</v>
      </c>
      <c r="I50" s="50">
        <f>#N/A</f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>#N/A</f>
        <v>0</v>
      </c>
      <c r="P50" s="50" t="e">
        <f>#N/A</f>
        <v>#DIV/0!</v>
      </c>
      <c r="Q50" s="50"/>
      <c r="R50" s="126">
        <f>N50/277.38</f>
        <v>0</v>
      </c>
    </row>
    <row r="51" spans="1:18" s="6" customFormat="1" ht="30.75">
      <c r="A51" s="8"/>
      <c r="B51" s="69" t="s">
        <v>127</v>
      </c>
      <c r="C51" s="83"/>
      <c r="D51" s="135"/>
      <c r="E51" s="135"/>
      <c r="F51" s="144">
        <v>683.2</v>
      </c>
      <c r="G51" s="135">
        <f>#N/A</f>
        <v>683.2</v>
      </c>
      <c r="H51" s="137"/>
      <c r="I51" s="136">
        <f>#N/A</f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>#N/A</f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>#N/A</f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>#N/A</f>
        <v>0</v>
      </c>
      <c r="P52" s="50"/>
      <c r="Q52" s="50"/>
      <c r="R52" s="126"/>
    </row>
    <row r="53" spans="1:18" s="6" customFormat="1" ht="30.7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>#N/A</f>
        <v>-0.5800000000000001</v>
      </c>
      <c r="H53" s="35">
        <f>F53/E53*100</f>
        <v>96.13333333333334</v>
      </c>
      <c r="I53" s="50">
        <f>#N/A</f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>#N/A</f>
        <v>5.700000000000001</v>
      </c>
      <c r="P53" s="50">
        <f>#N/A</f>
        <v>359.09090909090924</v>
      </c>
      <c r="Q53" s="50"/>
      <c r="R53" s="126"/>
    </row>
    <row r="54" spans="1:18" s="6" customFormat="1" ht="30.7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>#N/A</f>
        <v>0.1</v>
      </c>
      <c r="H54" s="35"/>
      <c r="I54" s="50">
        <f>#N/A</f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>#N/A</f>
        <v>0.08</v>
      </c>
      <c r="P54" s="50"/>
      <c r="Q54" s="50"/>
      <c r="R54" s="126"/>
    </row>
    <row r="55" spans="1:22" s="6" customFormat="1" ht="17.2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7.2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7.2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7.2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0.7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>#N/A</f>
        <v>-49.19</v>
      </c>
      <c r="H61" s="35"/>
      <c r="I61" s="53">
        <f>#N/A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>#N/A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>#N/A</f>
        <v>-49.19</v>
      </c>
      <c r="H62" s="65"/>
      <c r="I62" s="54">
        <f>#N/A</f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>#N/A</f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6.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>#N/A</f>
        <v>0</v>
      </c>
      <c r="H63" s="35" t="e">
        <f>F63/E63*100</f>
        <v>#DIV/0!</v>
      </c>
      <c r="I63" s="53">
        <f>#N/A</f>
        <v>0</v>
      </c>
      <c r="J63" s="53" t="e">
        <f>#N/A</f>
        <v>#DIV/0!</v>
      </c>
      <c r="K63" s="53"/>
      <c r="L63" s="53"/>
      <c r="M63" s="36">
        <v>0</v>
      </c>
      <c r="N63" s="36">
        <f>F63</f>
        <v>0</v>
      </c>
      <c r="O63" s="47">
        <f>#N/A</f>
        <v>0</v>
      </c>
      <c r="P63" s="53"/>
      <c r="Q63" s="53"/>
      <c r="R63" s="129"/>
    </row>
    <row r="64" spans="2:18" ht="30.7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>#N/A</f>
        <v>192.98000000000002</v>
      </c>
      <c r="H64" s="35"/>
      <c r="I64" s="53">
        <f>#N/A</f>
        <v>-1907.02</v>
      </c>
      <c r="J64" s="53">
        <f>#N/A</f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>#N/A</f>
        <v>398.98</v>
      </c>
      <c r="P64" s="53"/>
      <c r="Q64" s="53">
        <f>N64-0.04</f>
        <v>398.94</v>
      </c>
      <c r="R64" s="129">
        <f>N64/0.04</f>
        <v>9974.5</v>
      </c>
    </row>
    <row r="65" spans="2:18" ht="1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>#N/A</f>
        <v>-133.01000000000022</v>
      </c>
      <c r="H65" s="35">
        <f>F65/E65*100</f>
        <v>96.41748995356554</v>
      </c>
      <c r="I65" s="53">
        <f>#N/A</f>
        <v>-7996.25</v>
      </c>
      <c r="J65" s="53">
        <f>#N/A</f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>#N/A</f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0.7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>#N/A</f>
        <v>930.0400000000001</v>
      </c>
      <c r="H66" s="35">
        <f>F66/E66*100</f>
        <v>204.66351564258383</v>
      </c>
      <c r="I66" s="53">
        <f>#N/A</f>
        <v>-1181.36</v>
      </c>
      <c r="J66" s="53">
        <f>#N/A</f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>#N/A</f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3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>#N/A</f>
        <v>990.0099999999993</v>
      </c>
      <c r="H67" s="65">
        <f>F67/E67*100</f>
        <v>119.79481581009964</v>
      </c>
      <c r="I67" s="54">
        <f>#N/A</f>
        <v>-11084.630000000001</v>
      </c>
      <c r="J67" s="54">
        <f>#N/A</f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>#N/A</f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6.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>#N/A</f>
        <v>-13.91</v>
      </c>
      <c r="H68" s="35"/>
      <c r="I68" s="53">
        <f>#N/A</f>
        <v>-34.91</v>
      </c>
      <c r="J68" s="53">
        <f>#N/A</f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>#N/A</f>
        <v>0.09</v>
      </c>
      <c r="P68" s="53"/>
      <c r="Q68" s="53">
        <f>N68-0.16</f>
        <v>-0.07</v>
      </c>
      <c r="R68" s="129">
        <f>N68/0.16</f>
        <v>0.5625</v>
      </c>
    </row>
    <row r="69" spans="2:18" ht="1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0.7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0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0.7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7.2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">
      <c r="B76" s="23" t="s">
        <v>117</v>
      </c>
      <c r="N76" s="29"/>
    </row>
    <row r="77" spans="2:4" ht="15">
      <c r="B77" s="4" t="s">
        <v>119</v>
      </c>
      <c r="C77" s="101">
        <v>0</v>
      </c>
      <c r="D77" s="4" t="s">
        <v>118</v>
      </c>
    </row>
    <row r="78" spans="2:17" ht="30.75">
      <c r="B78" s="71" t="s">
        <v>154</v>
      </c>
      <c r="C78" s="34">
        <f>IF(O55&lt;0,ABS(O55/C77),0)</f>
        <v>0</v>
      </c>
      <c r="D78" s="4" t="s">
        <v>104</v>
      </c>
      <c r="G78" s="266"/>
      <c r="H78" s="266"/>
      <c r="I78" s="266"/>
      <c r="J78" s="266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63"/>
      <c r="O79" s="263"/>
    </row>
    <row r="80" spans="3:15" ht="15">
      <c r="C80" s="111">
        <v>42215</v>
      </c>
      <c r="D80" s="34">
        <v>7239.9</v>
      </c>
      <c r="F80" s="155" t="s">
        <v>166</v>
      </c>
      <c r="G80" s="261"/>
      <c r="H80" s="261"/>
      <c r="I80" s="177"/>
      <c r="J80" s="265"/>
      <c r="K80" s="265"/>
      <c r="L80" s="265"/>
      <c r="M80" s="265"/>
      <c r="N80" s="263"/>
      <c r="O80" s="263"/>
    </row>
    <row r="81" spans="3:15" ht="15.75" customHeight="1">
      <c r="C81" s="111">
        <v>42214</v>
      </c>
      <c r="D81" s="34">
        <v>4823.1</v>
      </c>
      <c r="G81" s="277" t="s">
        <v>151</v>
      </c>
      <c r="H81" s="277"/>
      <c r="I81" s="106">
        <v>8909.73221</v>
      </c>
      <c r="J81" s="262"/>
      <c r="K81" s="262"/>
      <c r="L81" s="262"/>
      <c r="M81" s="262"/>
      <c r="N81" s="263"/>
      <c r="O81" s="263"/>
    </row>
    <row r="82" spans="3:13" ht="15.75" customHeight="1">
      <c r="C82" s="111"/>
      <c r="G82" s="278" t="s">
        <v>234</v>
      </c>
      <c r="H82" s="279"/>
      <c r="I82" s="103">
        <v>0</v>
      </c>
      <c r="J82" s="265"/>
      <c r="K82" s="265"/>
      <c r="L82" s="265"/>
      <c r="M82" s="265"/>
    </row>
    <row r="83" spans="2:13" ht="18.75" customHeight="1">
      <c r="B83" s="270" t="s">
        <v>160</v>
      </c>
      <c r="C83" s="271"/>
      <c r="D83" s="108">
        <v>24842.96012</v>
      </c>
      <c r="E83" s="73"/>
      <c r="F83" s="156" t="s">
        <v>147</v>
      </c>
      <c r="G83" s="277" t="s">
        <v>149</v>
      </c>
      <c r="H83" s="277"/>
      <c r="I83" s="107">
        <v>15933.22791</v>
      </c>
      <c r="J83" s="265"/>
      <c r="K83" s="265"/>
      <c r="L83" s="265"/>
      <c r="M83" s="265"/>
    </row>
    <row r="84" spans="7:12" ht="9.75" customHeight="1">
      <c r="G84" s="261"/>
      <c r="H84" s="261"/>
      <c r="I84" s="90"/>
      <c r="J84" s="91"/>
      <c r="K84" s="91"/>
      <c r="L84" s="91"/>
    </row>
    <row r="85" spans="2:12" ht="22.5" customHeight="1" hidden="1">
      <c r="B85" s="267" t="s">
        <v>167</v>
      </c>
      <c r="C85" s="268"/>
      <c r="D85" s="110">
        <v>0</v>
      </c>
      <c r="E85" s="70" t="s">
        <v>104</v>
      </c>
      <c r="G85" s="261"/>
      <c r="H85" s="261"/>
      <c r="I85" s="90"/>
      <c r="J85" s="91"/>
      <c r="K85" s="91"/>
      <c r="L85" s="91"/>
    </row>
    <row r="86" spans="4:15" ht="15">
      <c r="D86" s="105"/>
      <c r="N86" s="261"/>
      <c r="O86" s="261"/>
    </row>
    <row r="87" spans="4:15" ht="15">
      <c r="D87" s="104"/>
      <c r="I87" s="34"/>
      <c r="N87" s="269"/>
      <c r="O87" s="269"/>
    </row>
    <row r="88" spans="14:15" ht="15">
      <c r="N88" s="261"/>
      <c r="O88" s="261"/>
    </row>
    <row r="92" ht="15">
      <c r="E92" s="4" t="s">
        <v>166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78:J78"/>
    <mergeCell ref="N79:O79"/>
    <mergeCell ref="G80:H80"/>
    <mergeCell ref="J80:M80"/>
    <mergeCell ref="N80:O80"/>
    <mergeCell ref="J4:J5"/>
    <mergeCell ref="N4:N5"/>
    <mergeCell ref="O4:O5"/>
    <mergeCell ref="K5:L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24" sqref="B24"/>
    </sheetView>
  </sheetViews>
  <sheetFormatPr defaultColWidth="9.1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50390625" style="217" customWidth="1"/>
    <col min="7" max="7" width="11.875" style="4" customWidth="1"/>
    <col min="8" max="8" width="10.50390625" style="4" customWidth="1"/>
    <col min="9" max="9" width="12.75390625" style="4" customWidth="1"/>
    <col min="10" max="10" width="9.50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82" t="s">
        <v>280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117"/>
      <c r="R1" s="118"/>
    </row>
    <row r="2" spans="2:18" s="1" customFormat="1" ht="15.75" customHeight="1">
      <c r="B2" s="248"/>
      <c r="C2" s="248"/>
      <c r="D2" s="248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49"/>
      <c r="B3" s="276"/>
      <c r="C3" s="252" t="s">
        <v>0</v>
      </c>
      <c r="D3" s="274" t="s">
        <v>261</v>
      </c>
      <c r="E3" s="40"/>
      <c r="F3" s="253" t="s">
        <v>107</v>
      </c>
      <c r="G3" s="254"/>
      <c r="H3" s="254"/>
      <c r="I3" s="254"/>
      <c r="J3" s="275"/>
      <c r="K3" s="114"/>
      <c r="L3" s="114"/>
      <c r="M3" s="255" t="s">
        <v>277</v>
      </c>
      <c r="N3" s="236" t="s">
        <v>278</v>
      </c>
      <c r="O3" s="236"/>
      <c r="P3" s="236"/>
      <c r="Q3" s="236"/>
      <c r="R3" s="236"/>
    </row>
    <row r="4" spans="1:18" ht="22.5" customHeight="1">
      <c r="A4" s="249"/>
      <c r="B4" s="276"/>
      <c r="C4" s="252"/>
      <c r="D4" s="274"/>
      <c r="E4" s="237" t="s">
        <v>279</v>
      </c>
      <c r="F4" s="280" t="s">
        <v>116</v>
      </c>
      <c r="G4" s="272" t="s">
        <v>275</v>
      </c>
      <c r="H4" s="243" t="s">
        <v>276</v>
      </c>
      <c r="I4" s="241" t="s">
        <v>217</v>
      </c>
      <c r="J4" s="256" t="s">
        <v>218</v>
      </c>
      <c r="K4" s="116" t="s">
        <v>172</v>
      </c>
      <c r="L4" s="121" t="s">
        <v>171</v>
      </c>
      <c r="M4" s="256"/>
      <c r="N4" s="258" t="s">
        <v>281</v>
      </c>
      <c r="O4" s="241" t="s">
        <v>136</v>
      </c>
      <c r="P4" s="260" t="s">
        <v>135</v>
      </c>
      <c r="Q4" s="122" t="s">
        <v>172</v>
      </c>
      <c r="R4" s="123" t="s">
        <v>171</v>
      </c>
    </row>
    <row r="5" spans="1:19" ht="92.25" customHeight="1">
      <c r="A5" s="250"/>
      <c r="B5" s="276"/>
      <c r="C5" s="252"/>
      <c r="D5" s="274"/>
      <c r="E5" s="238"/>
      <c r="F5" s="281"/>
      <c r="G5" s="273"/>
      <c r="H5" s="244"/>
      <c r="I5" s="242"/>
      <c r="J5" s="257"/>
      <c r="K5" s="245" t="s">
        <v>288</v>
      </c>
      <c r="L5" s="246"/>
      <c r="M5" s="257"/>
      <c r="N5" s="259"/>
      <c r="O5" s="242"/>
      <c r="P5" s="260"/>
      <c r="Q5" s="245" t="s">
        <v>176</v>
      </c>
      <c r="R5" s="24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7.2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>#N/A</f>
        <v>23522.715000000026</v>
      </c>
      <c r="H8" s="45">
        <f>F8/E8*100</f>
        <v>108.35334365070008</v>
      </c>
      <c r="I8" s="31">
        <f>#N/A</f>
        <v>-212309.885</v>
      </c>
      <c r="J8" s="31">
        <f>#N/A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>#N/A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>#N/A</f>
        <v>11221.070000000007</v>
      </c>
      <c r="H9" s="35">
        <f>#N/A</f>
        <v>107.00622164335176</v>
      </c>
      <c r="I9" s="50">
        <f>#N/A</f>
        <v>-141310.28</v>
      </c>
      <c r="J9" s="50">
        <f>#N/A</f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>#N/A</f>
        <v>951.2200000000012</v>
      </c>
      <c r="P9" s="50">
        <f>#N/A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" hidden="1">
      <c r="A10" s="8"/>
      <c r="B10" s="183" t="s">
        <v>253</v>
      </c>
      <c r="C10" s="134">
        <v>11010100</v>
      </c>
      <c r="D10" s="135">
        <v>270410</v>
      </c>
      <c r="E10" s="135">
        <v>141494.25</v>
      </c>
      <c r="F10" s="209">
        <v>152226.9</v>
      </c>
      <c r="G10" s="135">
        <f>#N/A</f>
        <v>10732.649999999994</v>
      </c>
      <c r="H10" s="137">
        <f>#N/A</f>
        <v>107.58521989409464</v>
      </c>
      <c r="I10" s="136">
        <f>#N/A</f>
        <v>-118183.1</v>
      </c>
      <c r="J10" s="136">
        <f>#N/A</f>
        <v>56.294848563292774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>#N/A</f>
        <v>1161.159999999989</v>
      </c>
      <c r="P10" s="136">
        <f>#N/A</f>
        <v>104.02175117761149</v>
      </c>
      <c r="Q10" s="50"/>
      <c r="R10" s="126"/>
    </row>
    <row r="11" spans="1:18" s="6" customFormat="1" ht="15" hidden="1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>#N/A</f>
        <v>-1574.8999999999996</v>
      </c>
      <c r="H11" s="137">
        <f>#N/A</f>
        <v>85.40137189469782</v>
      </c>
      <c r="I11" s="136">
        <f>#N/A</f>
        <v>-14486.9</v>
      </c>
      <c r="J11" s="136">
        <f>#N/A</f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>#N/A</f>
        <v>-388.28999999999996</v>
      </c>
      <c r="P11" s="136">
        <f>#N/A</f>
        <v>78.78196721311475</v>
      </c>
      <c r="Q11" s="50"/>
      <c r="R11" s="126"/>
    </row>
    <row r="12" spans="1:18" s="6" customFormat="1" ht="15" hidden="1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>#N/A</f>
        <v>93.5300000000002</v>
      </c>
      <c r="H12" s="137">
        <f>#N/A</f>
        <v>103.74269707883155</v>
      </c>
      <c r="I12" s="136">
        <f>#N/A</f>
        <v>-3207.47</v>
      </c>
      <c r="J12" s="136">
        <f>#N/A</f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>#N/A</f>
        <v>93.5</v>
      </c>
      <c r="P12" s="136">
        <f>#N/A</f>
        <v>128.33333333333334</v>
      </c>
      <c r="Q12" s="50"/>
      <c r="R12" s="126"/>
    </row>
    <row r="13" spans="1:18" s="6" customFormat="1" ht="15" hidden="1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>#N/A</f>
        <v>-559.9900000000002</v>
      </c>
      <c r="H13" s="137">
        <f>#N/A</f>
        <v>83.25088233534724</v>
      </c>
      <c r="I13" s="136">
        <f>#N/A</f>
        <v>-5616.59</v>
      </c>
      <c r="J13" s="136">
        <f>#N/A</f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>#N/A</f>
        <v>-444.2600000000002</v>
      </c>
      <c r="P13" s="136">
        <f>#N/A</f>
        <v>51.9199134199134</v>
      </c>
      <c r="Q13" s="50"/>
      <c r="R13" s="126"/>
    </row>
    <row r="14" spans="1:18" s="6" customFormat="1" ht="15" hidden="1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>#N/A</f>
        <v>2529.7700000000004</v>
      </c>
      <c r="H14" s="137">
        <f>#N/A</f>
        <v>224.37413962635202</v>
      </c>
      <c r="I14" s="136">
        <f>#N/A</f>
        <v>183.77000000000044</v>
      </c>
      <c r="J14" s="136">
        <f>#N/A</f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>#N/A</f>
        <v>529.1100000000006</v>
      </c>
      <c r="P14" s="136">
        <f>#N/A</f>
        <v>235.66923076923092</v>
      </c>
      <c r="Q14" s="50"/>
      <c r="R14" s="126"/>
    </row>
    <row r="15" spans="1:18" s="6" customFormat="1" ht="30.7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>#N/A</f>
        <v>-1029.44</v>
      </c>
      <c r="H15" s="35"/>
      <c r="I15" s="50">
        <f>#N/A</f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>#N/A</f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>#N/A</f>
        <v>-1353.1</v>
      </c>
      <c r="H16" s="137"/>
      <c r="I16" s="136">
        <f>#N/A</f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>#N/A</f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0.7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0.7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>#N/A</f>
        <v>2.8000000000000007</v>
      </c>
      <c r="H18" s="35">
        <f>#N/A</f>
        <v>121.53846153846155</v>
      </c>
      <c r="I18" s="50">
        <f>#N/A</f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>#N/A</f>
        <v>0</v>
      </c>
      <c r="P18" s="50" t="e">
        <f>#N/A</f>
        <v>#DIV/0!</v>
      </c>
      <c r="Q18" s="50"/>
      <c r="R18" s="126"/>
    </row>
    <row r="19" spans="1:18" s="6" customFormat="1" ht="46.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>#N/A</f>
        <v>6613.743999999999</v>
      </c>
      <c r="H19" s="35">
        <f>#N/A</f>
        <v>128.1402984757103</v>
      </c>
      <c r="I19" s="50">
        <f>#N/A</f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>#N/A</f>
        <v>-743.9860000000008</v>
      </c>
      <c r="P19" s="50">
        <f>#N/A</f>
        <v>90.36287564766839</v>
      </c>
      <c r="Q19" s="139"/>
      <c r="R19" s="140"/>
    </row>
    <row r="20" spans="1:18" s="6" customFormat="1" ht="1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>#N/A</f>
        <v>6688.4510000000155</v>
      </c>
      <c r="H20" s="35">
        <f>#N/A</f>
        <v>107.13389877330388</v>
      </c>
      <c r="I20" s="50">
        <f>#N/A</f>
        <v>-66325.64899999999</v>
      </c>
      <c r="J20" s="178">
        <f>#N/A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>#N/A</f>
        <v>-5913.29899999997</v>
      </c>
      <c r="P20" s="50">
        <f>#N/A</f>
        <v>67.15618491138243</v>
      </c>
      <c r="Q20" s="139"/>
      <c r="R20" s="140"/>
    </row>
    <row r="21" spans="1:18" s="6" customFormat="1" ht="1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>#N/A</f>
        <v>6400.116000000009</v>
      </c>
      <c r="H21" s="35">
        <f>#N/A</f>
        <v>113.23508391718298</v>
      </c>
      <c r="I21" s="50">
        <f>#N/A</f>
        <v>-43442.683999999994</v>
      </c>
      <c r="J21" s="178">
        <f>#N/A</f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>#N/A</f>
        <v>522.8660000000018</v>
      </c>
      <c r="P21" s="50">
        <f>#N/A</f>
        <v>106.19282017268542</v>
      </c>
      <c r="Q21" s="139"/>
      <c r="R21" s="140"/>
    </row>
    <row r="22" spans="1:18" s="6" customFormat="1" ht="1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>#N/A</f>
        <v>4590.903</v>
      </c>
      <c r="H22" s="137">
        <f>#N/A</f>
        <v>1353.6600218459857</v>
      </c>
      <c r="I22" s="136">
        <f>#N/A</f>
        <v>3957.103</v>
      </c>
      <c r="J22" s="136">
        <f>#N/A</f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>#N/A</f>
        <v>427.54300000000006</v>
      </c>
      <c r="P22" s="136">
        <f>#N/A</f>
        <v>574.5205327413987</v>
      </c>
      <c r="Q22" s="139"/>
      <c r="R22" s="140"/>
    </row>
    <row r="23" spans="1:18" s="6" customFormat="1" ht="1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>#N/A</f>
        <v>-39.31999999999999</v>
      </c>
      <c r="H23" s="137"/>
      <c r="I23" s="136">
        <f>#N/A</f>
        <v>-1289.32</v>
      </c>
      <c r="J23" s="136">
        <f>#N/A</f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>#N/A</f>
        <v>37.59</v>
      </c>
      <c r="P23" s="136"/>
      <c r="Q23" s="139"/>
      <c r="R23" s="140"/>
    </row>
    <row r="24" spans="1:18" s="6" customFormat="1" ht="1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>#N/A</f>
        <v>1848.533000000003</v>
      </c>
      <c r="H24" s="137">
        <f>#N/A</f>
        <v>103.87200310006075</v>
      </c>
      <c r="I24" s="136">
        <f>#N/A</f>
        <v>-46110.467</v>
      </c>
      <c r="J24" s="136">
        <f>#N/A</f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>#N/A</f>
        <v>57.733000000000175</v>
      </c>
      <c r="P24" s="136">
        <f>#N/A</f>
        <v>100.69116485095175</v>
      </c>
      <c r="Q24" s="139"/>
      <c r="R24" s="140"/>
    </row>
    <row r="25" spans="1:18" s="6" customFormat="1" ht="1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>#N/A</f>
        <v>15.224</v>
      </c>
      <c r="H25" s="35">
        <f>#N/A</f>
        <v>168.5765765765766</v>
      </c>
      <c r="I25" s="50">
        <f>#N/A</f>
        <v>-32.576</v>
      </c>
      <c r="J25" s="178">
        <f>#N/A</f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>#N/A</f>
        <v>-0.47600000000000264</v>
      </c>
      <c r="P25" s="50">
        <f>#N/A</f>
        <v>89.87234042553186</v>
      </c>
      <c r="Q25" s="139"/>
      <c r="R25" s="140"/>
    </row>
    <row r="26" spans="1:18" s="6" customFormat="1" ht="30.7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>#N/A</f>
        <v>-403.359</v>
      </c>
      <c r="H26" s="35"/>
      <c r="I26" s="50">
        <f>#N/A</f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>#N/A</f>
        <v>-197.86899999999997</v>
      </c>
      <c r="P26" s="50"/>
      <c r="Q26" s="139"/>
      <c r="R26" s="140"/>
    </row>
    <row r="27" spans="1:18" s="6" customFormat="1" ht="1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>#N/A</f>
        <v>676.4700000000012</v>
      </c>
      <c r="H27" s="35">
        <f>#N/A</f>
        <v>101.4907936927705</v>
      </c>
      <c r="I27" s="50">
        <f>#N/A</f>
        <v>-22447.03</v>
      </c>
      <c r="J27" s="178">
        <f>#N/A</f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>#N/A</f>
        <v>-6237.82</v>
      </c>
      <c r="P27" s="50">
        <f>#N/A</f>
        <v>34.726939779207875</v>
      </c>
      <c r="Q27" s="139"/>
      <c r="R27" s="140"/>
    </row>
    <row r="28" spans="1:18" s="6" customFormat="1" ht="1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>#N/A</f>
        <v>-1.2</v>
      </c>
      <c r="H28" s="137"/>
      <c r="I28" s="136">
        <f>#N/A</f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>#N/A</f>
        <v>0</v>
      </c>
      <c r="P28" s="136"/>
      <c r="Q28" s="139"/>
      <c r="R28" s="140"/>
    </row>
    <row r="29" spans="1:18" s="6" customFormat="1" ht="1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>#N/A</f>
        <v>383.15999999999985</v>
      </c>
      <c r="H29" s="137">
        <f>#N/A</f>
        <v>103.47065217391305</v>
      </c>
      <c r="I29" s="136">
        <f>#N/A</f>
        <v>-5076.84</v>
      </c>
      <c r="J29" s="136">
        <f>#N/A</f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>#N/A</f>
        <v>-1302.2900000000009</v>
      </c>
      <c r="P29" s="136"/>
      <c r="Q29" s="139"/>
      <c r="R29" s="140"/>
    </row>
    <row r="30" spans="1:18" s="6" customFormat="1" ht="1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>#N/A</f>
        <v>286.34999999999854</v>
      </c>
      <c r="H30" s="137">
        <f>#N/A</f>
        <v>100.83395220829145</v>
      </c>
      <c r="I30" s="136">
        <f>#N/A</f>
        <v>-17377.15</v>
      </c>
      <c r="J30" s="136">
        <f>#N/A</f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>#N/A</f>
        <v>-4936.730000000003</v>
      </c>
      <c r="P30" s="136"/>
      <c r="Q30" s="139"/>
      <c r="R30" s="140"/>
    </row>
    <row r="31" spans="1:18" s="6" customFormat="1" ht="1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>#N/A</f>
        <v>8.17</v>
      </c>
      <c r="H31" s="137"/>
      <c r="I31" s="136">
        <f>#N/A</f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>#N/A</f>
        <v>1.21</v>
      </c>
      <c r="P31" s="136"/>
      <c r="Q31" s="139"/>
      <c r="R31" s="140"/>
    </row>
    <row r="32" spans="1:18" s="6" customFormat="1" ht="1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>#N/A</f>
        <v>26</v>
      </c>
      <c r="H32" s="35">
        <f>#N/A</f>
        <v>100.65084609992991</v>
      </c>
      <c r="I32" s="50">
        <f>#N/A</f>
        <v>-3479.2</v>
      </c>
      <c r="J32" s="178">
        <f>#N/A</f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>#N/A</f>
        <v>-0.11999999999989086</v>
      </c>
      <c r="P32" s="50">
        <f>#N/A</f>
        <v>60.00000000006064</v>
      </c>
      <c r="Q32" s="139"/>
      <c r="R32" s="140"/>
    </row>
    <row r="33" spans="1:18" s="6" customFormat="1" ht="17.2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>#N/A</f>
        <v>9755.5</v>
      </c>
      <c r="H33" s="45">
        <f>F33/E33*100</f>
        <v>259.46873722926034</v>
      </c>
      <c r="I33" s="31">
        <f>#N/A</f>
        <v>3305.8999999999996</v>
      </c>
      <c r="J33" s="31">
        <f>#N/A</f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>#N/A</f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6.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>#N/A</f>
        <v>5.400000000000006</v>
      </c>
      <c r="H34" s="35">
        <f>F34/E34*100</f>
        <v>105.68421052631581</v>
      </c>
      <c r="I34" s="50">
        <f>#N/A</f>
        <v>-99.6</v>
      </c>
      <c r="J34" s="50">
        <f>#N/A</f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>#N/A</f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0.7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>#N/A</f>
        <v>0</v>
      </c>
      <c r="H35" s="35"/>
      <c r="I35" s="50">
        <f>#N/A</f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>#N/A</f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>#N/A</f>
        <v>188.18</v>
      </c>
      <c r="H36" s="35"/>
      <c r="I36" s="50">
        <f>#N/A</f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>#N/A</f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0.7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>#N/A</f>
        <v>-2.5</v>
      </c>
      <c r="H37" s="35">
        <f>F37/E37*100</f>
        <v>0</v>
      </c>
      <c r="I37" s="50">
        <f>#N/A</f>
        <v>-6.5</v>
      </c>
      <c r="J37" s="50">
        <f>#N/A</f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>#N/A</f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>#N/A</f>
        <v>16.620000000000005</v>
      </c>
      <c r="H38" s="35">
        <f>F38/E38*100</f>
        <v>125.56923076923077</v>
      </c>
      <c r="I38" s="50">
        <f>#N/A</f>
        <v>-58.379999999999995</v>
      </c>
      <c r="J38" s="50">
        <f>#N/A</f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>#N/A</f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6.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>#N/A</f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0.7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>#N/A</f>
        <v>782.71</v>
      </c>
      <c r="H41" s="35">
        <f>F41/E41*100</f>
        <v>122.23607954545454</v>
      </c>
      <c r="I41" s="50">
        <f>#N/A</f>
        <v>-2597.29</v>
      </c>
      <c r="J41" s="50">
        <f>#N/A</f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>#N/A</f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>#N/A</f>
        <v>3583.24</v>
      </c>
      <c r="H42" s="35">
        <f>F42/E42*100</f>
        <v>896.2755555555555</v>
      </c>
      <c r="I42" s="50">
        <f>#N/A</f>
        <v>2933.24</v>
      </c>
      <c r="J42" s="50">
        <f>#N/A</f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>#N/A</f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>#N/A</f>
        <v>192.74</v>
      </c>
      <c r="H43" s="137">
        <f>F43/E43*100</f>
        <v>149.42051282051284</v>
      </c>
      <c r="I43" s="136">
        <f>#N/A</f>
        <v>-387.26</v>
      </c>
      <c r="J43" s="136">
        <f>#N/A</f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>#N/A</f>
        <v>45.15</v>
      </c>
      <c r="H44" s="137"/>
      <c r="I44" s="136">
        <f>#N/A</f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>#N/A</f>
        <v>0.75</v>
      </c>
      <c r="H45" s="137"/>
      <c r="I45" s="136">
        <f>#N/A</f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>#N/A</f>
        <v>3324.6</v>
      </c>
      <c r="H46" s="137">
        <f>F46/E46*100</f>
        <v>4255.75</v>
      </c>
      <c r="I46" s="136">
        <f>#N/A</f>
        <v>3274.6</v>
      </c>
      <c r="J46" s="136">
        <f>#N/A</f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6.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>#N/A</f>
        <v>0</v>
      </c>
      <c r="H47" s="35"/>
      <c r="I47" s="50">
        <f>#N/A</f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>#N/A</f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>#N/A</f>
        <v>256.1500000000001</v>
      </c>
      <c r="H48" s="35">
        <f>F48/E48*100</f>
        <v>112.93686868686869</v>
      </c>
      <c r="I48" s="50">
        <f>#N/A</f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>#N/A</f>
        <v>98.2800000000002</v>
      </c>
      <c r="P48" s="50">
        <f>#N/A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>#N/A</f>
        <v>0</v>
      </c>
      <c r="H49" s="35" t="e">
        <f>F49/E49*100</f>
        <v>#DIV/0!</v>
      </c>
      <c r="I49" s="50">
        <f>#N/A</f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>#N/A</f>
        <v>0</v>
      </c>
      <c r="P49" s="50" t="e">
        <f>#N/A</f>
        <v>#DIV/0!</v>
      </c>
      <c r="Q49" s="50"/>
      <c r="R49" s="126">
        <f>N49/277.38</f>
        <v>0</v>
      </c>
    </row>
    <row r="50" spans="1:18" s="6" customFormat="1" ht="1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>#N/A</f>
        <v>0</v>
      </c>
      <c r="H50" s="35" t="e">
        <f>F50/E50*100</f>
        <v>#DIV/0!</v>
      </c>
      <c r="I50" s="50">
        <f>#N/A</f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>#N/A</f>
        <v>0</v>
      </c>
      <c r="P50" s="50" t="e">
        <f>#N/A</f>
        <v>#DIV/0!</v>
      </c>
      <c r="Q50" s="50"/>
      <c r="R50" s="126">
        <f>N50/277.38</f>
        <v>0</v>
      </c>
    </row>
    <row r="51" spans="1:18" s="6" customFormat="1" ht="30.75">
      <c r="A51" s="8"/>
      <c r="B51" s="69" t="s">
        <v>127</v>
      </c>
      <c r="C51" s="83"/>
      <c r="D51" s="135"/>
      <c r="E51" s="135"/>
      <c r="F51" s="209">
        <v>577.4</v>
      </c>
      <c r="G51" s="135">
        <f>#N/A</f>
        <v>577.4</v>
      </c>
      <c r="H51" s="137"/>
      <c r="I51" s="136">
        <f>#N/A</f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>#N/A</f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>#N/A</f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>#N/A</f>
        <v>0.6</v>
      </c>
      <c r="P52" s="50"/>
      <c r="Q52" s="50"/>
      <c r="R52" s="126"/>
    </row>
    <row r="53" spans="1:18" s="6" customFormat="1" ht="30.7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>#N/A</f>
        <v>-6.280000000000001</v>
      </c>
      <c r="H53" s="35">
        <f>F53/E53*100</f>
        <v>50.93749999999999</v>
      </c>
      <c r="I53" s="50">
        <f>#N/A</f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>#N/A</f>
        <v>-2.200000000000001</v>
      </c>
      <c r="P53" s="50">
        <f>#N/A</f>
        <v>0</v>
      </c>
      <c r="Q53" s="50"/>
      <c r="R53" s="126"/>
    </row>
    <row r="54" spans="1:18" s="6" customFormat="1" ht="30.7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>#N/A</f>
        <v>0.02</v>
      </c>
      <c r="H54" s="35"/>
      <c r="I54" s="50">
        <f>#N/A</f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>#N/A</f>
        <v>0</v>
      </c>
      <c r="P54" s="50"/>
      <c r="Q54" s="50"/>
      <c r="R54" s="126"/>
    </row>
    <row r="55" spans="1:22" s="6" customFormat="1" ht="17.2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7.2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7.2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7.2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0.7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>#N/A</f>
        <v>-31.04</v>
      </c>
      <c r="H61" s="35"/>
      <c r="I61" s="53">
        <f>#N/A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>#N/A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>#N/A</f>
        <v>-31.04</v>
      </c>
      <c r="H62" s="65"/>
      <c r="I62" s="54">
        <f>#N/A</f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>#N/A</f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6.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>#N/A</f>
        <v>0</v>
      </c>
      <c r="H63" s="35" t="e">
        <f>F63/E63*100</f>
        <v>#DIV/0!</v>
      </c>
      <c r="I63" s="53">
        <f>#N/A</f>
        <v>0</v>
      </c>
      <c r="J63" s="53" t="e">
        <f>#N/A</f>
        <v>#DIV/0!</v>
      </c>
      <c r="K63" s="53"/>
      <c r="L63" s="53"/>
      <c r="M63" s="36">
        <v>0</v>
      </c>
      <c r="N63" s="36">
        <f>F63</f>
        <v>0</v>
      </c>
      <c r="O63" s="47">
        <f>#N/A</f>
        <v>0</v>
      </c>
      <c r="P63" s="53"/>
      <c r="Q63" s="53"/>
      <c r="R63" s="129"/>
    </row>
    <row r="64" spans="2:18" ht="30.7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>#N/A</f>
        <v>-206</v>
      </c>
      <c r="H64" s="35"/>
      <c r="I64" s="53">
        <f>#N/A</f>
        <v>-2306</v>
      </c>
      <c r="J64" s="53">
        <f>#N/A</f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>#N/A</f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>#N/A</f>
        <v>757.3700000000003</v>
      </c>
      <c r="H65" s="35">
        <f>F65/E65*100</f>
        <v>130.2984358122975</v>
      </c>
      <c r="I65" s="53">
        <f>#N/A</f>
        <v>-8318.93</v>
      </c>
      <c r="J65" s="53">
        <f>#N/A</f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>#N/A</f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0.7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>#N/A</f>
        <v>1077.92</v>
      </c>
      <c r="H66" s="35">
        <f>F66/E66*100</f>
        <v>245.56650911546254</v>
      </c>
      <c r="I66" s="53">
        <f>#N/A</f>
        <v>-1181.58</v>
      </c>
      <c r="J66" s="53">
        <f>#N/A</f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>#N/A</f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3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>#N/A</f>
        <v>1629.29</v>
      </c>
      <c r="H67" s="65">
        <f>F67/E67*100</f>
        <v>144.75825504093183</v>
      </c>
      <c r="I67" s="54">
        <f>#N/A</f>
        <v>-11806.51</v>
      </c>
      <c r="J67" s="54">
        <f>#N/A</f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>#N/A</f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6.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>#N/A</f>
        <v>-14</v>
      </c>
      <c r="H68" s="35"/>
      <c r="I68" s="53">
        <f>#N/A</f>
        <v>-35</v>
      </c>
      <c r="J68" s="53">
        <f>#N/A</f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>#N/A</f>
        <v>-3</v>
      </c>
      <c r="P68" s="53"/>
      <c r="Q68" s="53">
        <f>N68-0.16</f>
        <v>-0.16</v>
      </c>
      <c r="R68" s="129">
        <f>N68/0.16</f>
        <v>0</v>
      </c>
    </row>
    <row r="69" spans="2:18" ht="1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0.7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0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0.7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7.2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">
      <c r="B76" s="23" t="s">
        <v>117</v>
      </c>
      <c r="N76" s="29"/>
    </row>
    <row r="77" spans="2:4" ht="15">
      <c r="B77" s="4" t="s">
        <v>119</v>
      </c>
      <c r="C77" s="101">
        <v>0</v>
      </c>
      <c r="D77" s="4" t="s">
        <v>118</v>
      </c>
    </row>
    <row r="78" spans="2:17" ht="30.75">
      <c r="B78" s="71" t="s">
        <v>154</v>
      </c>
      <c r="C78" s="34" t="e">
        <f>IF(O55&lt;0,ABS(O55/C77),0)</f>
        <v>#DIV/0!</v>
      </c>
      <c r="D78" s="4" t="s">
        <v>104</v>
      </c>
      <c r="G78" s="266"/>
      <c r="H78" s="266"/>
      <c r="I78" s="266"/>
      <c r="J78" s="266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63"/>
      <c r="O79" s="263"/>
    </row>
    <row r="80" spans="3:15" ht="15">
      <c r="C80" s="111">
        <v>42181</v>
      </c>
      <c r="D80" s="34">
        <v>8722.4</v>
      </c>
      <c r="F80" s="217" t="s">
        <v>166</v>
      </c>
      <c r="G80" s="261"/>
      <c r="H80" s="261"/>
      <c r="I80" s="177"/>
      <c r="J80" s="265"/>
      <c r="K80" s="265"/>
      <c r="L80" s="265"/>
      <c r="M80" s="265"/>
      <c r="N80" s="263"/>
      <c r="O80" s="263"/>
    </row>
    <row r="81" spans="3:15" ht="15.75" customHeight="1">
      <c r="C81" s="111">
        <v>42180</v>
      </c>
      <c r="D81" s="34">
        <v>4146.6</v>
      </c>
      <c r="G81" s="277" t="s">
        <v>151</v>
      </c>
      <c r="H81" s="277"/>
      <c r="I81" s="106">
        <v>8909.73221</v>
      </c>
      <c r="J81" s="262"/>
      <c r="K81" s="262"/>
      <c r="L81" s="262"/>
      <c r="M81" s="262"/>
      <c r="N81" s="263"/>
      <c r="O81" s="263"/>
    </row>
    <row r="82" spans="3:13" ht="15.75" customHeight="1">
      <c r="C82" s="111"/>
      <c r="G82" s="278" t="s">
        <v>234</v>
      </c>
      <c r="H82" s="279"/>
      <c r="I82" s="103">
        <v>0</v>
      </c>
      <c r="J82" s="265"/>
      <c r="K82" s="265"/>
      <c r="L82" s="265"/>
      <c r="M82" s="265"/>
    </row>
    <row r="83" spans="2:13" ht="18.75" customHeight="1">
      <c r="B83" s="270" t="s">
        <v>160</v>
      </c>
      <c r="C83" s="271"/>
      <c r="D83" s="108">
        <v>152943.93305000002</v>
      </c>
      <c r="E83" s="73"/>
      <c r="F83" s="218" t="s">
        <v>147</v>
      </c>
      <c r="G83" s="277" t="s">
        <v>149</v>
      </c>
      <c r="H83" s="277"/>
      <c r="I83" s="107">
        <v>144034.20084</v>
      </c>
      <c r="J83" s="265"/>
      <c r="K83" s="265"/>
      <c r="L83" s="265"/>
      <c r="M83" s="265"/>
    </row>
    <row r="84" spans="7:12" ht="9.75" customHeight="1">
      <c r="G84" s="261"/>
      <c r="H84" s="261"/>
      <c r="I84" s="90"/>
      <c r="J84" s="91"/>
      <c r="K84" s="91"/>
      <c r="L84" s="91"/>
    </row>
    <row r="85" spans="2:12" ht="22.5" customHeight="1" hidden="1">
      <c r="B85" s="267" t="s">
        <v>167</v>
      </c>
      <c r="C85" s="268"/>
      <c r="D85" s="110">
        <v>0</v>
      </c>
      <c r="E85" s="70" t="s">
        <v>104</v>
      </c>
      <c r="G85" s="261"/>
      <c r="H85" s="261"/>
      <c r="I85" s="90"/>
      <c r="J85" s="91"/>
      <c r="K85" s="91"/>
      <c r="L85" s="91"/>
    </row>
    <row r="86" spans="4:15" ht="15">
      <c r="D86" s="105"/>
      <c r="N86" s="261"/>
      <c r="O86" s="261"/>
    </row>
    <row r="87" spans="4:15" ht="15">
      <c r="D87" s="104"/>
      <c r="I87" s="34"/>
      <c r="N87" s="269"/>
      <c r="O87" s="269"/>
    </row>
    <row r="88" spans="14:15" ht="15">
      <c r="N88" s="261"/>
      <c r="O88" s="261"/>
    </row>
    <row r="92" ht="15">
      <c r="E92" s="4" t="s">
        <v>166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78:J78"/>
    <mergeCell ref="N79:O79"/>
    <mergeCell ref="G80:H80"/>
    <mergeCell ref="J80:M80"/>
    <mergeCell ref="N80:O80"/>
    <mergeCell ref="J4:J5"/>
    <mergeCell ref="N4:N5"/>
    <mergeCell ref="O4:O5"/>
    <mergeCell ref="K5:L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B24" sqref="B24"/>
    </sheetView>
  </sheetViews>
  <sheetFormatPr defaultColWidth="9.1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50390625" style="4" customWidth="1"/>
    <col min="9" max="9" width="12.75390625" style="4" customWidth="1"/>
    <col min="10" max="10" width="9.50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7" t="s">
        <v>274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117"/>
      <c r="R1" s="118"/>
    </row>
    <row r="2" spans="2:18" s="1" customFormat="1" ht="15.75" customHeight="1">
      <c r="B2" s="248"/>
      <c r="C2" s="248"/>
      <c r="D2" s="24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49"/>
      <c r="B3" s="276"/>
      <c r="C3" s="252" t="s">
        <v>0</v>
      </c>
      <c r="D3" s="274" t="s">
        <v>261</v>
      </c>
      <c r="E3" s="40"/>
      <c r="F3" s="253" t="s">
        <v>107</v>
      </c>
      <c r="G3" s="254"/>
      <c r="H3" s="254"/>
      <c r="I3" s="254"/>
      <c r="J3" s="275"/>
      <c r="K3" s="114"/>
      <c r="L3" s="114"/>
      <c r="M3" s="255" t="s">
        <v>266</v>
      </c>
      <c r="N3" s="236" t="s">
        <v>267</v>
      </c>
      <c r="O3" s="236"/>
      <c r="P3" s="236"/>
      <c r="Q3" s="236"/>
      <c r="R3" s="236"/>
    </row>
    <row r="4" spans="1:18" ht="22.5" customHeight="1">
      <c r="A4" s="249"/>
      <c r="B4" s="276"/>
      <c r="C4" s="252"/>
      <c r="D4" s="274"/>
      <c r="E4" s="237" t="s">
        <v>262</v>
      </c>
      <c r="F4" s="239" t="s">
        <v>116</v>
      </c>
      <c r="G4" s="272" t="s">
        <v>263</v>
      </c>
      <c r="H4" s="243" t="s">
        <v>264</v>
      </c>
      <c r="I4" s="241" t="s">
        <v>217</v>
      </c>
      <c r="J4" s="256" t="s">
        <v>218</v>
      </c>
      <c r="K4" s="116" t="s">
        <v>172</v>
      </c>
      <c r="L4" s="121" t="s">
        <v>171</v>
      </c>
      <c r="M4" s="256"/>
      <c r="N4" s="258" t="s">
        <v>273</v>
      </c>
      <c r="O4" s="241" t="s">
        <v>136</v>
      </c>
      <c r="P4" s="260" t="s">
        <v>135</v>
      </c>
      <c r="Q4" s="122" t="s">
        <v>172</v>
      </c>
      <c r="R4" s="123" t="s">
        <v>171</v>
      </c>
    </row>
    <row r="5" spans="1:19" ht="92.25" customHeight="1">
      <c r="A5" s="250"/>
      <c r="B5" s="276"/>
      <c r="C5" s="252"/>
      <c r="D5" s="274"/>
      <c r="E5" s="238"/>
      <c r="F5" s="240"/>
      <c r="G5" s="273"/>
      <c r="H5" s="244"/>
      <c r="I5" s="242"/>
      <c r="J5" s="257"/>
      <c r="K5" s="245" t="s">
        <v>265</v>
      </c>
      <c r="L5" s="246"/>
      <c r="M5" s="257"/>
      <c r="N5" s="259"/>
      <c r="O5" s="242"/>
      <c r="P5" s="260"/>
      <c r="Q5" s="245" t="s">
        <v>176</v>
      </c>
      <c r="R5" s="24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7.2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>#N/A</f>
        <v>29206.400000000023</v>
      </c>
      <c r="H8" s="45">
        <f>F8/E8*100</f>
        <v>113.06623802095241</v>
      </c>
      <c r="I8" s="31">
        <f>#N/A</f>
        <v>-264696.9</v>
      </c>
      <c r="J8" s="31">
        <f>#N/A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>#N/A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>#N/A</f>
        <v>10269.850000000006</v>
      </c>
      <c r="H9" s="35">
        <f>#N/A</f>
        <v>108.03508103462374</v>
      </c>
      <c r="I9" s="50">
        <f>#N/A</f>
        <v>-174607.5</v>
      </c>
      <c r="J9" s="50">
        <f>#N/A</f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>#N/A</f>
        <v>1152.1800000000076</v>
      </c>
      <c r="P9" s="50">
        <f>#N/A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" hidden="1">
      <c r="A10" s="8"/>
      <c r="B10" s="183" t="s">
        <v>253</v>
      </c>
      <c r="C10" s="134">
        <v>11010100</v>
      </c>
      <c r="D10" s="135">
        <v>270410</v>
      </c>
      <c r="E10" s="135">
        <v>112622.25</v>
      </c>
      <c r="F10" s="144">
        <v>122193.74</v>
      </c>
      <c r="G10" s="135">
        <f>#N/A</f>
        <v>9571.490000000005</v>
      </c>
      <c r="H10" s="137">
        <f>#N/A</f>
        <v>108.49875579647895</v>
      </c>
      <c r="I10" s="136">
        <f>#N/A</f>
        <v>-148216.26</v>
      </c>
      <c r="J10" s="136">
        <f>#N/A</f>
        <v>45.188321437816654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>#N/A</f>
        <v>791.7600000000093</v>
      </c>
      <c r="P10" s="136">
        <f>#N/A</f>
        <v>103.43486761990002</v>
      </c>
      <c r="Q10" s="50"/>
      <c r="R10" s="126"/>
    </row>
    <row r="11" spans="1:18" s="6" customFormat="1" ht="1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>#N/A</f>
        <v>-1186.6099999999997</v>
      </c>
      <c r="H11" s="137">
        <f>#N/A</f>
        <v>86.75362804197366</v>
      </c>
      <c r="I11" s="136">
        <f>#N/A</f>
        <v>-15928.61</v>
      </c>
      <c r="J11" s="136">
        <f>#N/A</f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>#N/A</f>
        <v>-540.0699999999997</v>
      </c>
      <c r="P11" s="136">
        <f>#N/A</f>
        <v>73.1308457711443</v>
      </c>
      <c r="Q11" s="50"/>
      <c r="R11" s="126"/>
    </row>
    <row r="12" spans="1:18" s="6" customFormat="1" ht="1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>#N/A</f>
        <v>0.03000000000020009</v>
      </c>
      <c r="H12" s="137">
        <f>#N/A</f>
        <v>100.00138312586446</v>
      </c>
      <c r="I12" s="136">
        <f>#N/A</f>
        <v>-3630.97</v>
      </c>
      <c r="J12" s="136">
        <f>#N/A</f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>#N/A</f>
        <v>0.790000000000191</v>
      </c>
      <c r="P12" s="136">
        <f>#N/A</f>
        <v>100.17555555555559</v>
      </c>
      <c r="Q12" s="50"/>
      <c r="R12" s="126"/>
    </row>
    <row r="13" spans="1:18" s="6" customFormat="1" ht="1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>#N/A</f>
        <v>-115.73000000000002</v>
      </c>
      <c r="H13" s="137">
        <f>#N/A</f>
        <v>95.21658262379103</v>
      </c>
      <c r="I13" s="136">
        <f>#N/A</f>
        <v>-6096.33</v>
      </c>
      <c r="J13" s="136">
        <f>#N/A</f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>#N/A</f>
        <v>376.9000000000001</v>
      </c>
      <c r="P13" s="136">
        <f>#N/A</f>
        <v>242.76515151515156</v>
      </c>
      <c r="Q13" s="50"/>
      <c r="R13" s="126"/>
    </row>
    <row r="14" spans="1:18" s="6" customFormat="1" ht="1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>#N/A</f>
        <v>2000.6599999999999</v>
      </c>
      <c r="H14" s="137">
        <f>#N/A</f>
        <v>221.69464720194645</v>
      </c>
      <c r="I14" s="136">
        <f>#N/A</f>
        <v>-735.3400000000001</v>
      </c>
      <c r="J14" s="136">
        <f>#N/A</f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>#N/A</f>
        <v>522.79</v>
      </c>
      <c r="P14" s="136">
        <f>#N/A</f>
        <v>234.04871794871792</v>
      </c>
      <c r="Q14" s="50"/>
      <c r="R14" s="126"/>
    </row>
    <row r="15" spans="1:18" s="6" customFormat="1" ht="30.7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>#N/A</f>
        <v>-1051.94</v>
      </c>
      <c r="H15" s="35"/>
      <c r="I15" s="50">
        <f>#N/A</f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>#N/A</f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>#N/A</f>
        <v>-1375.03</v>
      </c>
      <c r="H16" s="137"/>
      <c r="I16" s="136">
        <f>#N/A</f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>#N/A</f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0.7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0.7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>#N/A</f>
        <v>2.8000000000000007</v>
      </c>
      <c r="H18" s="35">
        <f>#N/A</f>
        <v>121.53846153846155</v>
      </c>
      <c r="I18" s="50">
        <f>#N/A</f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>#N/A</f>
        <v>0</v>
      </c>
      <c r="P18" s="50" t="e">
        <f>#N/A</f>
        <v>#DIV/0!</v>
      </c>
      <c r="Q18" s="50"/>
      <c r="R18" s="126"/>
    </row>
    <row r="19" spans="1:18" s="6" customFormat="1" ht="46.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>#N/A</f>
        <v>7357.73</v>
      </c>
      <c r="H19" s="35">
        <f>#N/A</f>
        <v>146.6188085092902</v>
      </c>
      <c r="I19" s="50">
        <f>#N/A</f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>#N/A</f>
        <v>3662.8599999999988</v>
      </c>
      <c r="P19" s="50">
        <f>#N/A</f>
        <v>217.39935897435893</v>
      </c>
      <c r="Q19" s="139"/>
      <c r="R19" s="140"/>
    </row>
    <row r="20" spans="1:18" s="6" customFormat="1" ht="1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>#N/A</f>
        <v>12601.749999999985</v>
      </c>
      <c r="H20" s="35">
        <f>#N/A</f>
        <v>116.63562221788052</v>
      </c>
      <c r="I20" s="50">
        <f>#N/A</f>
        <v>-78416.65000000001</v>
      </c>
      <c r="J20" s="178">
        <f>#N/A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>#N/A</f>
        <v>3213.109999999986</v>
      </c>
      <c r="P20" s="50">
        <f>#N/A</f>
        <v>121.64278834171927</v>
      </c>
      <c r="Q20" s="139"/>
      <c r="R20" s="140"/>
    </row>
    <row r="21" spans="1:18" s="6" customFormat="1" ht="1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>#N/A</f>
        <v>5877.250000000007</v>
      </c>
      <c r="H21" s="35">
        <f>#N/A</f>
        <v>114.72474639287873</v>
      </c>
      <c r="I21" s="50">
        <f>#N/A</f>
        <v>-52408.649999999994</v>
      </c>
      <c r="J21" s="178">
        <f>#N/A</f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>#N/A</f>
        <v>446.3500000000058</v>
      </c>
      <c r="P21" s="50">
        <f>#N/A</f>
        <v>105.53708550942187</v>
      </c>
      <c r="Q21" s="139"/>
      <c r="R21" s="140"/>
    </row>
    <row r="22" spans="1:18" s="6" customFormat="1" ht="1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>#N/A</f>
        <v>4163.36</v>
      </c>
      <c r="H22" s="137">
        <f>#N/A</f>
        <v>1607.9174212241942</v>
      </c>
      <c r="I22" s="136">
        <f>#N/A</f>
        <v>3439.46</v>
      </c>
      <c r="J22" s="136">
        <f>#N/A</f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>#N/A</f>
        <v>215.2900000000003</v>
      </c>
      <c r="P22" s="136">
        <f>#N/A</f>
        <v>4321.372549019595</v>
      </c>
      <c r="Q22" s="139"/>
      <c r="R22" s="140"/>
    </row>
    <row r="23" spans="1:18" s="6" customFormat="1" ht="1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>#N/A</f>
        <v>-76.91</v>
      </c>
      <c r="H23" s="137"/>
      <c r="I23" s="136">
        <f>#N/A</f>
        <v>-1326.91</v>
      </c>
      <c r="J23" s="136">
        <f>#N/A</f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>#N/A</f>
        <v>31.370000000000005</v>
      </c>
      <c r="P23" s="136"/>
      <c r="Q23" s="139"/>
      <c r="R23" s="140"/>
    </row>
    <row r="24" spans="1:18" s="6" customFormat="1" ht="1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>#N/A</f>
        <v>1790.800000000003</v>
      </c>
      <c r="H24" s="137">
        <f>#N/A</f>
        <v>104.54656240479335</v>
      </c>
      <c r="I24" s="136">
        <f>#N/A</f>
        <v>-54521.2</v>
      </c>
      <c r="J24" s="136">
        <f>#N/A</f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>#N/A</f>
        <v>199.69000000000233</v>
      </c>
      <c r="P24" s="136">
        <f>#N/A</f>
        <v>102.4787735849057</v>
      </c>
      <c r="Q24" s="139"/>
      <c r="R24" s="140"/>
    </row>
    <row r="25" spans="1:18" s="6" customFormat="1" ht="1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>#N/A</f>
        <v>15.700000000000003</v>
      </c>
      <c r="H25" s="35">
        <f>#N/A</f>
        <v>189.71428571428572</v>
      </c>
      <c r="I25" s="50">
        <f>#N/A</f>
        <v>-36.8</v>
      </c>
      <c r="J25" s="178">
        <f>#N/A</f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>#N/A</f>
        <v>5.040000000000003</v>
      </c>
      <c r="P25" s="50">
        <f>#N/A</f>
        <v>200.80000000000004</v>
      </c>
      <c r="Q25" s="139"/>
      <c r="R25" s="140"/>
    </row>
    <row r="26" spans="1:18" s="6" customFormat="1" ht="30.7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>#N/A</f>
        <v>-205.49</v>
      </c>
      <c r="H26" s="35"/>
      <c r="I26" s="50">
        <f>#N/A</f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>#N/A</f>
        <v>-146.25</v>
      </c>
      <c r="P26" s="50"/>
      <c r="Q26" s="139"/>
      <c r="R26" s="140"/>
    </row>
    <row r="27" spans="1:18" s="6" customFormat="1" ht="1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>#N/A</f>
        <v>6914.290000000001</v>
      </c>
      <c r="H27" s="35">
        <f>#N/A</f>
        <v>119.30287548855387</v>
      </c>
      <c r="I27" s="50">
        <f>#N/A</f>
        <v>-25765.71</v>
      </c>
      <c r="J27" s="178">
        <f>#N/A</f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>#N/A</f>
        <v>2907.970000000001</v>
      </c>
      <c r="P27" s="50">
        <f>#N/A</f>
        <v>142.89041297935105</v>
      </c>
      <c r="Q27" s="139"/>
      <c r="R27" s="140"/>
    </row>
    <row r="28" spans="1:18" s="6" customFormat="1" ht="1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>#N/A</f>
        <v>-1.2</v>
      </c>
      <c r="H28" s="137"/>
      <c r="I28" s="136">
        <f>#N/A</f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>#N/A</f>
        <v>0.020000000000000018</v>
      </c>
      <c r="P28" s="136"/>
      <c r="Q28" s="139"/>
      <c r="R28" s="140"/>
    </row>
    <row r="29" spans="1:18" s="6" customFormat="1" ht="1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>#N/A</f>
        <v>1685.4500000000007</v>
      </c>
      <c r="H29" s="137">
        <f>#N/A</f>
        <v>118.44037199124726</v>
      </c>
      <c r="I29" s="136">
        <f>#N/A</f>
        <v>-5674.549999999999</v>
      </c>
      <c r="J29" s="136">
        <f>#N/A</f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>#N/A</f>
        <v>143.04000000000087</v>
      </c>
      <c r="P29" s="136"/>
      <c r="Q29" s="139"/>
      <c r="R29" s="140"/>
    </row>
    <row r="30" spans="1:18" s="6" customFormat="1" ht="1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>#N/A</f>
        <v>5223.080000000002</v>
      </c>
      <c r="H30" s="137">
        <f>#N/A</f>
        <v>119.57676161919042</v>
      </c>
      <c r="I30" s="136">
        <f>#N/A</f>
        <v>-20096.92</v>
      </c>
      <c r="J30" s="136">
        <f>#N/A</f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>#N/A</f>
        <v>2763.720000000001</v>
      </c>
      <c r="P30" s="136"/>
      <c r="Q30" s="139"/>
      <c r="R30" s="140"/>
    </row>
    <row r="31" spans="1:18" s="6" customFormat="1" ht="1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>#N/A</f>
        <v>6.96</v>
      </c>
      <c r="H31" s="137"/>
      <c r="I31" s="136">
        <f>#N/A</f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>#N/A</f>
        <v>1.21</v>
      </c>
      <c r="P31" s="136"/>
      <c r="Q31" s="139"/>
      <c r="R31" s="140"/>
    </row>
    <row r="32" spans="1:18" s="6" customFormat="1" ht="1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>#N/A</f>
        <v>26.11999999999989</v>
      </c>
      <c r="H32" s="35">
        <f>#N/A</f>
        <v>100.653899111278</v>
      </c>
      <c r="I32" s="50">
        <f>#N/A</f>
        <v>-3479.38</v>
      </c>
      <c r="J32" s="178">
        <f>#N/A</f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>#N/A</f>
        <v>6.519999999999982</v>
      </c>
      <c r="P32" s="50">
        <f>#N/A</f>
        <v>100.32600000000001</v>
      </c>
      <c r="Q32" s="139"/>
      <c r="R32" s="140"/>
    </row>
    <row r="33" spans="1:18" s="6" customFormat="1" ht="17.2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>#N/A</f>
        <v>7832.529999999999</v>
      </c>
      <c r="H33" s="45">
        <f>F33/E33*100</f>
        <v>251.70501646329652</v>
      </c>
      <c r="I33" s="31">
        <f>#N/A</f>
        <v>428.4299999999985</v>
      </c>
      <c r="J33" s="31">
        <f>#N/A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>#N/A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6.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>#N/A</f>
        <v>15.400000000000006</v>
      </c>
      <c r="H34" s="35">
        <f>F34/E34*100</f>
        <v>118.11764705882352</v>
      </c>
      <c r="I34" s="50">
        <f>#N/A</f>
        <v>-99.6</v>
      </c>
      <c r="J34" s="50">
        <f>#N/A</f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>#N/A</f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0.7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>#N/A</f>
        <v>0</v>
      </c>
      <c r="H35" s="35"/>
      <c r="I35" s="50">
        <f>#N/A</f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>#N/A</f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>#N/A</f>
        <v>112.8</v>
      </c>
      <c r="H36" s="35"/>
      <c r="I36" s="50">
        <f>#N/A</f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>#N/A</f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0.7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>#N/A</f>
        <v>-2</v>
      </c>
      <c r="H37" s="35">
        <f>F37/E37*100</f>
        <v>0</v>
      </c>
      <c r="I37" s="50">
        <f>#N/A</f>
        <v>-6.5</v>
      </c>
      <c r="J37" s="50">
        <f>#N/A</f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>#N/A</f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>#N/A</f>
        <v>14.180000000000007</v>
      </c>
      <c r="H38" s="35">
        <f>F38/E38*100</f>
        <v>127.80392156862746</v>
      </c>
      <c r="I38" s="50">
        <f>#N/A</f>
        <v>-74.82</v>
      </c>
      <c r="J38" s="50">
        <f>#N/A</f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>#N/A</f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6.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>#N/A</f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0.7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>#N/A</f>
        <v>433.1399999999999</v>
      </c>
      <c r="H41" s="35">
        <f>F41/E41*100</f>
        <v>114.58383838383838</v>
      </c>
      <c r="I41" s="50">
        <f>#N/A</f>
        <v>-3496.86</v>
      </c>
      <c r="J41" s="50">
        <f>#N/A</f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>#N/A</f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>#N/A</f>
        <v>2988.6</v>
      </c>
      <c r="H42" s="35">
        <f>F42/E42*100</f>
        <v>886.4736842105262</v>
      </c>
      <c r="I42" s="50">
        <f>#N/A</f>
        <v>2268.6</v>
      </c>
      <c r="J42" s="50">
        <f>#N/A</f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>#N/A</f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>#N/A</f>
        <v>67.69999999999999</v>
      </c>
      <c r="H43" s="137">
        <f>F43/E43*100</f>
        <v>120.5151515151515</v>
      </c>
      <c r="I43" s="136">
        <f>#N/A</f>
        <v>-572.3</v>
      </c>
      <c r="J43" s="136">
        <f>#N/A</f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>#N/A</f>
        <v>44.74</v>
      </c>
      <c r="H44" s="137"/>
      <c r="I44" s="136">
        <f>#N/A</f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>#N/A</f>
        <v>0.73</v>
      </c>
      <c r="H45" s="137"/>
      <c r="I45" s="136">
        <f>#N/A</f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>#N/A</f>
        <v>2875.43</v>
      </c>
      <c r="H46" s="137">
        <f>F46/E46*100</f>
        <v>5850.86</v>
      </c>
      <c r="I46" s="136">
        <f>#N/A</f>
        <v>2795.43</v>
      </c>
      <c r="J46" s="136">
        <f>#N/A</f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6.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>#N/A</f>
        <v>0</v>
      </c>
      <c r="H47" s="35"/>
      <c r="I47" s="50">
        <f>#N/A</f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>#N/A</f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>#N/A</f>
        <v>157.8699999999999</v>
      </c>
      <c r="H48" s="35">
        <f>F48/E48*100</f>
        <v>109.45329341317364</v>
      </c>
      <c r="I48" s="50">
        <f>#N/A</f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>#N/A</f>
        <v>-7.8900000000001</v>
      </c>
      <c r="P48" s="50">
        <f>#N/A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>#N/A</f>
        <v>0</v>
      </c>
      <c r="H49" s="35" t="e">
        <f>F49/E49*100</f>
        <v>#DIV/0!</v>
      </c>
      <c r="I49" s="50">
        <f>#N/A</f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>#N/A</f>
        <v>0</v>
      </c>
      <c r="P49" s="50" t="e">
        <f>#N/A</f>
        <v>#DIV/0!</v>
      </c>
      <c r="Q49" s="50"/>
      <c r="R49" s="126">
        <f>N49/277.38</f>
        <v>0</v>
      </c>
    </row>
    <row r="50" spans="1:18" s="6" customFormat="1" ht="1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>#N/A</f>
        <v>0</v>
      </c>
      <c r="H50" s="35" t="e">
        <f>F50/E50*100</f>
        <v>#DIV/0!</v>
      </c>
      <c r="I50" s="50">
        <f>#N/A</f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>#N/A</f>
        <v>0</v>
      </c>
      <c r="P50" s="50" t="e">
        <f>#N/A</f>
        <v>#DIV/0!</v>
      </c>
      <c r="Q50" s="50"/>
      <c r="R50" s="126">
        <f>N50/277.38</f>
        <v>0</v>
      </c>
    </row>
    <row r="51" spans="1:18" s="6" customFormat="1" ht="30.75">
      <c r="A51" s="8"/>
      <c r="B51" s="69" t="s">
        <v>127</v>
      </c>
      <c r="C51" s="83"/>
      <c r="D51" s="135"/>
      <c r="E51" s="135"/>
      <c r="F51" s="144">
        <v>430.9</v>
      </c>
      <c r="G51" s="135">
        <f>#N/A</f>
        <v>430.9</v>
      </c>
      <c r="H51" s="137"/>
      <c r="I51" s="136">
        <f>#N/A</f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>#N/A</f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>#N/A</f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>#N/A</f>
        <v>0</v>
      </c>
      <c r="P52" s="50"/>
      <c r="Q52" s="50"/>
      <c r="R52" s="126"/>
    </row>
    <row r="53" spans="1:18" s="6" customFormat="1" ht="30.7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>#N/A</f>
        <v>-4.08</v>
      </c>
      <c r="H53" s="35">
        <f>F53/E53*100</f>
        <v>61.50943396226415</v>
      </c>
      <c r="I53" s="50">
        <f>#N/A</f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>#N/A</f>
        <v>-2.1999999999999993</v>
      </c>
      <c r="P53" s="50">
        <f>#N/A</f>
        <v>0</v>
      </c>
      <c r="Q53" s="50"/>
      <c r="R53" s="126"/>
    </row>
    <row r="54" spans="1:18" s="6" customFormat="1" ht="30.7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>#N/A</f>
        <v>0.02</v>
      </c>
      <c r="H54" s="35"/>
      <c r="I54" s="50">
        <f>#N/A</f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>#N/A</f>
        <v>0</v>
      </c>
      <c r="P54" s="50"/>
      <c r="Q54" s="50"/>
      <c r="R54" s="126"/>
    </row>
    <row r="55" spans="1:22" s="6" customFormat="1" ht="17.2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7.2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7.2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7.2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0.7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>#N/A</f>
        <v>-19.39</v>
      </c>
      <c r="H61" s="35"/>
      <c r="I61" s="53">
        <f>#N/A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>#N/A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>#N/A</f>
        <v>-19.39</v>
      </c>
      <c r="H62" s="65"/>
      <c r="I62" s="54">
        <f>#N/A</f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>#N/A</f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6.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>#N/A</f>
        <v>0</v>
      </c>
      <c r="H63" s="35" t="e">
        <f>F63/E63*100</f>
        <v>#DIV/0!</v>
      </c>
      <c r="I63" s="53">
        <f>#N/A</f>
        <v>0</v>
      </c>
      <c r="J63" s="53" t="e">
        <f>#N/A</f>
        <v>#DIV/0!</v>
      </c>
      <c r="K63" s="53"/>
      <c r="L63" s="53"/>
      <c r="M63" s="36">
        <v>0</v>
      </c>
      <c r="N63" s="36">
        <f>F63</f>
        <v>0</v>
      </c>
      <c r="O63" s="47">
        <f>#N/A</f>
        <v>0</v>
      </c>
      <c r="P63" s="53"/>
      <c r="Q63" s="53"/>
      <c r="R63" s="129"/>
    </row>
    <row r="64" spans="2:18" ht="30.7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>#N/A</f>
        <v>-206.04</v>
      </c>
      <c r="H64" s="35"/>
      <c r="I64" s="53">
        <f>#N/A</f>
        <v>-2306.04</v>
      </c>
      <c r="J64" s="53">
        <f>#N/A</f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>#N/A</f>
        <v>-227.76</v>
      </c>
      <c r="P64" s="53"/>
      <c r="Q64" s="53">
        <f>N64-0.04</f>
        <v>102.2</v>
      </c>
      <c r="R64" s="129">
        <f>N64/0.04</f>
        <v>2556</v>
      </c>
    </row>
    <row r="65" spans="2:18" ht="1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>#N/A</f>
        <v>403.85000000000036</v>
      </c>
      <c r="H65" s="35">
        <f>F65/E65*100</f>
        <v>119.56959964335212</v>
      </c>
      <c r="I65" s="53">
        <f>#N/A</f>
        <v>-9108.49</v>
      </c>
      <c r="J65" s="53">
        <f>#N/A</f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>#N/A</f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0.7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>#N/A</f>
        <v>1075.8000000000002</v>
      </c>
      <c r="H66" s="35">
        <f>F66/E66*100</f>
        <v>281.60027008777854</v>
      </c>
      <c r="I66" s="53">
        <f>#N/A</f>
        <v>-1331.8</v>
      </c>
      <c r="J66" s="53">
        <f>#N/A</f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>#N/A</f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3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>#N/A</f>
        <v>1273.6100000000001</v>
      </c>
      <c r="H67" s="65">
        <f>F67/E67*100</f>
        <v>141.67490167077872</v>
      </c>
      <c r="I67" s="54">
        <f>#N/A</f>
        <v>-12746.33</v>
      </c>
      <c r="J67" s="54">
        <f>#N/A</f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>#N/A</f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6.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>#N/A</f>
        <v>-11</v>
      </c>
      <c r="H68" s="35"/>
      <c r="I68" s="53">
        <f>#N/A</f>
        <v>-35</v>
      </c>
      <c r="J68" s="53">
        <f>#N/A</f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>#N/A</f>
        <v>-2</v>
      </c>
      <c r="P68" s="53"/>
      <c r="Q68" s="53">
        <f>N68-0.16</f>
        <v>-0.16</v>
      </c>
      <c r="R68" s="129">
        <f>N68/0.16</f>
        <v>0</v>
      </c>
    </row>
    <row r="69" spans="2:18" ht="1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0.7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0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0.7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7.2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">
      <c r="B76" s="23" t="s">
        <v>117</v>
      </c>
      <c r="N76" s="29"/>
    </row>
    <row r="77" spans="2:4" ht="15">
      <c r="B77" s="4" t="s">
        <v>119</v>
      </c>
      <c r="C77" s="101">
        <v>0</v>
      </c>
      <c r="D77" s="4" t="s">
        <v>118</v>
      </c>
    </row>
    <row r="78" spans="2:17" ht="30.75">
      <c r="B78" s="71" t="s">
        <v>154</v>
      </c>
      <c r="C78" s="34">
        <f>IF(O55&lt;0,ABS(O55/C77),0)</f>
        <v>0</v>
      </c>
      <c r="D78" s="4" t="s">
        <v>104</v>
      </c>
      <c r="G78" s="266"/>
      <c r="H78" s="266"/>
      <c r="I78" s="266"/>
      <c r="J78" s="266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63"/>
      <c r="O79" s="263"/>
    </row>
    <row r="80" spans="3:15" ht="15">
      <c r="C80" s="111">
        <v>42152</v>
      </c>
      <c r="D80" s="34">
        <v>5845.4</v>
      </c>
      <c r="F80" s="155" t="s">
        <v>166</v>
      </c>
      <c r="G80" s="261"/>
      <c r="H80" s="261"/>
      <c r="I80" s="177"/>
      <c r="J80" s="265"/>
      <c r="K80" s="265"/>
      <c r="L80" s="265"/>
      <c r="M80" s="265"/>
      <c r="N80" s="263"/>
      <c r="O80" s="263"/>
    </row>
    <row r="81" spans="3:15" ht="15.75" customHeight="1">
      <c r="C81" s="111">
        <v>42151</v>
      </c>
      <c r="D81" s="34">
        <v>3158.7</v>
      </c>
      <c r="G81" s="277" t="s">
        <v>151</v>
      </c>
      <c r="H81" s="277"/>
      <c r="I81" s="106">
        <v>8909.73221</v>
      </c>
      <c r="J81" s="262"/>
      <c r="K81" s="262"/>
      <c r="L81" s="262"/>
      <c r="M81" s="262"/>
      <c r="N81" s="263"/>
      <c r="O81" s="263"/>
    </row>
    <row r="82" spans="7:13" ht="15.75" customHeight="1">
      <c r="G82" s="278" t="s">
        <v>234</v>
      </c>
      <c r="H82" s="279"/>
      <c r="I82" s="103">
        <v>0</v>
      </c>
      <c r="J82" s="265"/>
      <c r="K82" s="265"/>
      <c r="L82" s="265"/>
      <c r="M82" s="265"/>
    </row>
    <row r="83" spans="2:13" ht="18.75" customHeight="1">
      <c r="B83" s="270" t="s">
        <v>160</v>
      </c>
      <c r="C83" s="271"/>
      <c r="D83" s="108">
        <v>153606.78</v>
      </c>
      <c r="E83" s="73"/>
      <c r="F83" s="156" t="s">
        <v>147</v>
      </c>
      <c r="G83" s="277" t="s">
        <v>149</v>
      </c>
      <c r="H83" s="277"/>
      <c r="I83" s="107">
        <v>144697.05</v>
      </c>
      <c r="J83" s="265"/>
      <c r="K83" s="265"/>
      <c r="L83" s="265"/>
      <c r="M83" s="265"/>
    </row>
    <row r="84" spans="7:12" ht="9.75" customHeight="1">
      <c r="G84" s="261"/>
      <c r="H84" s="261"/>
      <c r="I84" s="90"/>
      <c r="J84" s="91"/>
      <c r="K84" s="91"/>
      <c r="L84" s="91"/>
    </row>
    <row r="85" spans="2:12" ht="22.5" customHeight="1" hidden="1">
      <c r="B85" s="267" t="s">
        <v>167</v>
      </c>
      <c r="C85" s="268"/>
      <c r="D85" s="110">
        <v>0</v>
      </c>
      <c r="E85" s="70" t="s">
        <v>104</v>
      </c>
      <c r="G85" s="261"/>
      <c r="H85" s="261"/>
      <c r="I85" s="90"/>
      <c r="J85" s="91"/>
      <c r="K85" s="91"/>
      <c r="L85" s="91"/>
    </row>
    <row r="86" spans="4:15" ht="15">
      <c r="D86" s="105"/>
      <c r="N86" s="261"/>
      <c r="O86" s="261"/>
    </row>
    <row r="87" spans="4:15" ht="15">
      <c r="D87" s="104"/>
      <c r="I87" s="34"/>
      <c r="N87" s="269"/>
      <c r="O87" s="269"/>
    </row>
    <row r="88" spans="14:15" ht="15">
      <c r="N88" s="261"/>
      <c r="O88" s="261"/>
    </row>
    <row r="92" ht="15">
      <c r="E92" s="4" t="s">
        <v>166</v>
      </c>
    </row>
  </sheetData>
  <sheetProtection/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F3:J3"/>
    <mergeCell ref="M3:M5"/>
    <mergeCell ref="N3:R3"/>
    <mergeCell ref="E4:E5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zoomScalePageLayoutView="0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29" sqref="G29"/>
    </sheetView>
  </sheetViews>
  <sheetFormatPr defaultColWidth="9.1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50390625" style="4" customWidth="1"/>
    <col min="9" max="9" width="12.75390625" style="4" customWidth="1"/>
    <col min="10" max="10" width="9.50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7" t="s">
        <v>259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117"/>
      <c r="R1" s="118"/>
    </row>
    <row r="2" spans="2:18" s="1" customFormat="1" ht="15.75" customHeight="1">
      <c r="B2" s="248"/>
      <c r="C2" s="248"/>
      <c r="D2" s="248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49"/>
      <c r="B3" s="276"/>
      <c r="C3" s="252" t="s">
        <v>0</v>
      </c>
      <c r="D3" s="274" t="s">
        <v>261</v>
      </c>
      <c r="E3" s="40"/>
      <c r="F3" s="253" t="s">
        <v>107</v>
      </c>
      <c r="G3" s="254"/>
      <c r="H3" s="254"/>
      <c r="I3" s="254"/>
      <c r="J3" s="275"/>
      <c r="K3" s="114"/>
      <c r="L3" s="114"/>
      <c r="M3" s="255" t="s">
        <v>240</v>
      </c>
      <c r="N3" s="236" t="s">
        <v>241</v>
      </c>
      <c r="O3" s="236"/>
      <c r="P3" s="236"/>
      <c r="Q3" s="236"/>
      <c r="R3" s="236"/>
    </row>
    <row r="4" spans="1:18" ht="22.5" customHeight="1">
      <c r="A4" s="249"/>
      <c r="B4" s="276"/>
      <c r="C4" s="252"/>
      <c r="D4" s="274"/>
      <c r="E4" s="237" t="s">
        <v>237</v>
      </c>
      <c r="F4" s="283" t="s">
        <v>116</v>
      </c>
      <c r="G4" s="272" t="s">
        <v>238</v>
      </c>
      <c r="H4" s="243" t="s">
        <v>239</v>
      </c>
      <c r="I4" s="241" t="s">
        <v>217</v>
      </c>
      <c r="J4" s="256" t="s">
        <v>218</v>
      </c>
      <c r="K4" s="116" t="s">
        <v>172</v>
      </c>
      <c r="L4" s="121" t="s">
        <v>171</v>
      </c>
      <c r="M4" s="256"/>
      <c r="N4" s="258" t="s">
        <v>260</v>
      </c>
      <c r="O4" s="241" t="s">
        <v>136</v>
      </c>
      <c r="P4" s="260" t="s">
        <v>135</v>
      </c>
      <c r="Q4" s="122" t="s">
        <v>172</v>
      </c>
      <c r="R4" s="123" t="s">
        <v>171</v>
      </c>
    </row>
    <row r="5" spans="1:19" ht="92.25" customHeight="1">
      <c r="A5" s="250"/>
      <c r="B5" s="276"/>
      <c r="C5" s="252"/>
      <c r="D5" s="274"/>
      <c r="E5" s="238"/>
      <c r="F5" s="284"/>
      <c r="G5" s="273"/>
      <c r="H5" s="244"/>
      <c r="I5" s="242"/>
      <c r="J5" s="257"/>
      <c r="K5" s="245" t="s">
        <v>242</v>
      </c>
      <c r="L5" s="246"/>
      <c r="M5" s="257"/>
      <c r="N5" s="259"/>
      <c r="O5" s="242"/>
      <c r="P5" s="260"/>
      <c r="Q5" s="245" t="s">
        <v>176</v>
      </c>
      <c r="R5" s="24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7.2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>#N/A</f>
        <v>21142.22</v>
      </c>
      <c r="H8" s="45">
        <f>F8/E8*100</f>
        <v>111.91816474123584</v>
      </c>
      <c r="I8" s="31">
        <f>#N/A</f>
        <v>-318891.85</v>
      </c>
      <c r="J8" s="31">
        <f>#N/A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>#N/A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0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>#N/A</f>
        <v>110765.65</v>
      </c>
      <c r="H9" s="16"/>
      <c r="I9" s="50">
        <f>#N/A</f>
        <v>-201924.35</v>
      </c>
      <c r="J9" s="50">
        <f>#N/A</f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>#N/A</f>
        <v>7194.149999999994</v>
      </c>
      <c r="P9" s="50">
        <f>F9/M9*100</f>
        <v>440.7004456115222</v>
      </c>
      <c r="Q9" s="50"/>
      <c r="R9" s="126"/>
    </row>
    <row r="10" spans="1:19" s="6" customFormat="1" ht="1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>#N/A</f>
        <v>9117.669999999998</v>
      </c>
      <c r="H10" s="35">
        <f>#N/A</f>
        <v>108.96984868759812</v>
      </c>
      <c r="I10" s="50">
        <f>#N/A</f>
        <v>-201924.35</v>
      </c>
      <c r="J10" s="50">
        <f>#N/A</f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>#N/A</f>
        <v>7194.149999999994</v>
      </c>
      <c r="P10" s="50">
        <f>#N/A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" hidden="1">
      <c r="A11" s="8"/>
      <c r="B11" s="183" t="s">
        <v>253</v>
      </c>
      <c r="C11" s="134">
        <v>11010100</v>
      </c>
      <c r="D11" s="135">
        <v>270410</v>
      </c>
      <c r="E11" s="135">
        <v>89571.58</v>
      </c>
      <c r="F11" s="190">
        <v>98351.31</v>
      </c>
      <c r="G11" s="135">
        <f>#N/A</f>
        <v>8779.729999999996</v>
      </c>
      <c r="H11" s="137">
        <f>#N/A</f>
        <v>109.80191484843742</v>
      </c>
      <c r="I11" s="136">
        <f>#N/A</f>
        <v>-172058.69</v>
      </c>
      <c r="J11" s="136">
        <f>#N/A</f>
        <v>36.37118079952664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>#N/A</f>
        <v>8779.729999999996</v>
      </c>
      <c r="P11" s="136">
        <f>#N/A</f>
        <v>109.80191484843742</v>
      </c>
      <c r="Q11" s="50"/>
      <c r="R11" s="126"/>
    </row>
    <row r="12" spans="1:18" s="6" customFormat="1" ht="15" hidden="1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>#N/A</f>
        <v>-646.54</v>
      </c>
      <c r="H12" s="137">
        <f>#N/A</f>
        <v>90.69458837075418</v>
      </c>
      <c r="I12" s="136">
        <f>#N/A</f>
        <v>-17398.54</v>
      </c>
      <c r="J12" s="136">
        <f>#N/A</f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>#N/A</f>
        <v>-646.54</v>
      </c>
      <c r="P12" s="136">
        <f>#N/A</f>
        <v>90.69458837075418</v>
      </c>
      <c r="Q12" s="50"/>
      <c r="R12" s="126"/>
    </row>
    <row r="13" spans="1:18" s="6" customFormat="1" ht="15" hidden="1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>#N/A</f>
        <v>-0.7599999999999909</v>
      </c>
      <c r="H13" s="137">
        <f>#N/A</f>
        <v>99.95578824898197</v>
      </c>
      <c r="I13" s="136">
        <f>#N/A</f>
        <v>-4081.76</v>
      </c>
      <c r="J13" s="136">
        <f>#N/A</f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>#N/A</f>
        <v>-0.7599999999999909</v>
      </c>
      <c r="P13" s="136">
        <f>#N/A</f>
        <v>99.95578824898197</v>
      </c>
      <c r="Q13" s="50"/>
      <c r="R13" s="126"/>
    </row>
    <row r="14" spans="1:18" s="6" customFormat="1" ht="15" hidden="1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>#N/A</f>
        <v>-492.6300000000001</v>
      </c>
      <c r="H14" s="137">
        <f>#N/A</f>
        <v>77.14438155330797</v>
      </c>
      <c r="I14" s="136">
        <f>#N/A</f>
        <v>-6737.23</v>
      </c>
      <c r="J14" s="136">
        <f>#N/A</f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>#N/A</f>
        <v>-492.6300000000001</v>
      </c>
      <c r="P14" s="136">
        <f>#N/A</f>
        <v>77.14438155330797</v>
      </c>
      <c r="Q14" s="50"/>
      <c r="R14" s="126"/>
    </row>
    <row r="15" spans="1:18" s="6" customFormat="1" ht="15" hidden="1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>#N/A</f>
        <v>1477.87</v>
      </c>
      <c r="H15" s="137">
        <f>#N/A</f>
        <v>217.8524720893142</v>
      </c>
      <c r="I15" s="136">
        <f>#N/A</f>
        <v>-1648.13</v>
      </c>
      <c r="J15" s="136">
        <f>#N/A</f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>#N/A</f>
        <v>1477.87</v>
      </c>
      <c r="P15" s="136">
        <f>#N/A</f>
        <v>217.8524720893142</v>
      </c>
      <c r="Q15" s="50"/>
      <c r="R15" s="126"/>
    </row>
    <row r="16" spans="1:18" s="6" customFormat="1" ht="47.25" customHeight="1" hidden="1">
      <c r="A16" s="8"/>
      <c r="B16" s="14"/>
      <c r="C16" s="59"/>
      <c r="D16" s="36">
        <v>0</v>
      </c>
      <c r="E16" s="36">
        <v>0</v>
      </c>
      <c r="F16" s="189">
        <v>0</v>
      </c>
      <c r="G16" s="43">
        <f>#N/A</f>
        <v>0</v>
      </c>
      <c r="H16" s="35" t="e">
        <f>#N/A</f>
        <v>#DIV/0!</v>
      </c>
      <c r="I16" s="50">
        <f>#N/A</f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>#N/A</f>
        <v>0</v>
      </c>
      <c r="P16" s="50" t="e">
        <f>#N/A</f>
        <v>#DIV/0!</v>
      </c>
      <c r="Q16" s="50"/>
      <c r="R16" s="126"/>
    </row>
    <row r="17" spans="1:18" s="6" customFormat="1" ht="15" hidden="1">
      <c r="A17" s="8"/>
      <c r="B17" s="12"/>
      <c r="C17" s="59"/>
      <c r="D17" s="36">
        <v>0</v>
      </c>
      <c r="E17" s="36">
        <v>0</v>
      </c>
      <c r="F17" s="189">
        <v>0</v>
      </c>
      <c r="G17" s="43">
        <f>#N/A</f>
        <v>0</v>
      </c>
      <c r="H17" s="35" t="e">
        <f>#N/A</f>
        <v>#DIV/0!</v>
      </c>
      <c r="I17" s="50">
        <f>#N/A</f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>#N/A</f>
        <v>0</v>
      </c>
      <c r="P17" s="50" t="e">
        <f>#N/A</f>
        <v>#DIV/0!</v>
      </c>
      <c r="Q17" s="50"/>
      <c r="R17" s="126"/>
    </row>
    <row r="18" spans="1:18" s="6" customFormat="1" ht="15" hidden="1">
      <c r="A18" s="8"/>
      <c r="B18" s="61"/>
      <c r="C18" s="92"/>
      <c r="D18" s="36">
        <v>0</v>
      </c>
      <c r="E18" s="36">
        <v>0</v>
      </c>
      <c r="F18" s="189">
        <v>0</v>
      </c>
      <c r="G18" s="43">
        <f>#N/A</f>
        <v>0</v>
      </c>
      <c r="H18" s="35" t="e">
        <f>#N/A</f>
        <v>#DIV/0!</v>
      </c>
      <c r="I18" s="50">
        <f>#N/A</f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>#N/A</f>
        <v>0</v>
      </c>
      <c r="P18" s="50" t="e">
        <f>#N/A</f>
        <v>#DIV/0!</v>
      </c>
      <c r="Q18" s="50"/>
      <c r="R18" s="126"/>
    </row>
    <row r="19" spans="1:18" s="6" customFormat="1" ht="30.7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>#N/A</f>
        <v>-1081.45</v>
      </c>
      <c r="H19" s="35"/>
      <c r="I19" s="50">
        <f>#N/A</f>
        <v>-1410.25</v>
      </c>
      <c r="J19" s="50">
        <f>#N/A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>#N/A</f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0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>#N/A</f>
        <v>0</v>
      </c>
      <c r="H20" s="35"/>
      <c r="I20" s="50">
        <f>#N/A</f>
        <v>0</v>
      </c>
      <c r="J20" s="50" t="e">
        <f>#N/A</f>
        <v>#DIV/0!</v>
      </c>
      <c r="K20" s="50">
        <f>#N/A</f>
        <v>-194.7</v>
      </c>
      <c r="L20" s="50">
        <f>#N/A</f>
        <v>0</v>
      </c>
      <c r="M20" s="35">
        <f>E20-березень!E20</f>
        <v>0</v>
      </c>
      <c r="N20" s="35">
        <f>F20-березень!F20</f>
        <v>0</v>
      </c>
      <c r="O20" s="47">
        <f>#N/A</f>
        <v>0</v>
      </c>
      <c r="P20" s="50"/>
      <c r="Q20" s="50">
        <f>#N/A</f>
        <v>-194.7</v>
      </c>
      <c r="R20" s="126">
        <f>#N/A</f>
        <v>0</v>
      </c>
    </row>
    <row r="21" spans="1:18" s="6" customFormat="1" ht="30.7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>#N/A</f>
        <v>0</v>
      </c>
      <c r="H21" s="35"/>
      <c r="I21" s="50">
        <f>#N/A</f>
        <v>0</v>
      </c>
      <c r="J21" s="50" t="e">
        <f>#N/A</f>
        <v>#DIV/0!</v>
      </c>
      <c r="K21" s="50">
        <f>#N/A</f>
        <v>-194.7</v>
      </c>
      <c r="L21" s="50">
        <f>#N/A</f>
        <v>0</v>
      </c>
      <c r="M21" s="35">
        <f>E21-березень!E21</f>
        <v>0</v>
      </c>
      <c r="N21" s="35">
        <f>F21-березень!F21</f>
        <v>0</v>
      </c>
      <c r="O21" s="47">
        <f>#N/A</f>
        <v>0</v>
      </c>
      <c r="P21" s="50"/>
      <c r="Q21" s="50">
        <f>#N/A</f>
        <v>-194.7</v>
      </c>
      <c r="R21" s="126">
        <f>#N/A</f>
        <v>0</v>
      </c>
    </row>
    <row r="22" spans="1:18" s="6" customFormat="1" ht="46.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>#N/A</f>
        <v>0</v>
      </c>
      <c r="H22" s="35"/>
      <c r="I22" s="50">
        <f>#N/A</f>
        <v>0</v>
      </c>
      <c r="J22" s="50" t="e">
        <f>#N/A</f>
        <v>#DIV/0!</v>
      </c>
      <c r="K22" s="50">
        <f>#N/A</f>
        <v>-194.7</v>
      </c>
      <c r="L22" s="50">
        <f>#N/A</f>
        <v>0</v>
      </c>
      <c r="M22" s="35">
        <f>E22-березень!E22</f>
        <v>0</v>
      </c>
      <c r="N22" s="35">
        <f>F22-березень!F22</f>
        <v>0</v>
      </c>
      <c r="O22" s="47">
        <f>#N/A</f>
        <v>0</v>
      </c>
      <c r="P22" s="50"/>
      <c r="Q22" s="50">
        <f>#N/A</f>
        <v>-194.7</v>
      </c>
      <c r="R22" s="126">
        <f>#N/A</f>
        <v>0</v>
      </c>
    </row>
    <row r="23" spans="1:18" s="6" customFormat="1" ht="61.5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>#N/A</f>
        <v>0</v>
      </c>
      <c r="H23" s="35"/>
      <c r="I23" s="50">
        <f>#N/A</f>
        <v>0</v>
      </c>
      <c r="J23" s="50" t="e">
        <f>#N/A</f>
        <v>#DIV/0!</v>
      </c>
      <c r="K23" s="50">
        <f>#N/A</f>
        <v>-194.7</v>
      </c>
      <c r="L23" s="50">
        <f>#N/A</f>
        <v>0</v>
      </c>
      <c r="M23" s="35">
        <f>E23-березень!E23</f>
        <v>0</v>
      </c>
      <c r="N23" s="35">
        <f>F23-березень!F23</f>
        <v>0</v>
      </c>
      <c r="O23" s="47">
        <f>#N/A</f>
        <v>0</v>
      </c>
      <c r="P23" s="50"/>
      <c r="Q23" s="50">
        <f>#N/A</f>
        <v>-194.7</v>
      </c>
      <c r="R23" s="126">
        <f>#N/A</f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>#N/A</f>
        <v>0</v>
      </c>
      <c r="H24" s="35"/>
      <c r="I24" s="50">
        <f>#N/A</f>
        <v>0</v>
      </c>
      <c r="J24" s="50" t="e">
        <f>#N/A</f>
        <v>#DIV/0!</v>
      </c>
      <c r="K24" s="50">
        <f>#N/A</f>
        <v>-194.7</v>
      </c>
      <c r="L24" s="50">
        <f>#N/A</f>
        <v>0</v>
      </c>
      <c r="M24" s="35">
        <f>E24-березень!E24</f>
        <v>0</v>
      </c>
      <c r="N24" s="35">
        <f>F24-березень!F24</f>
        <v>0</v>
      </c>
      <c r="O24" s="47">
        <f>#N/A</f>
        <v>0</v>
      </c>
      <c r="P24" s="50"/>
      <c r="Q24" s="50">
        <f>#N/A</f>
        <v>-194.7</v>
      </c>
      <c r="R24" s="126">
        <f>#N/A</f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>#N/A</f>
        <v>0</v>
      </c>
      <c r="H25" s="35"/>
      <c r="I25" s="50">
        <f>#N/A</f>
        <v>0</v>
      </c>
      <c r="J25" s="50" t="e">
        <f>#N/A</f>
        <v>#DIV/0!</v>
      </c>
      <c r="K25" s="50">
        <f>#N/A</f>
        <v>-194.7</v>
      </c>
      <c r="L25" s="50">
        <f>#N/A</f>
        <v>0</v>
      </c>
      <c r="M25" s="35">
        <f>E25-березень!E25</f>
        <v>0</v>
      </c>
      <c r="N25" s="35">
        <f>F25-березень!F25</f>
        <v>0</v>
      </c>
      <c r="O25" s="47">
        <f>#N/A</f>
        <v>0</v>
      </c>
      <c r="P25" s="50"/>
      <c r="Q25" s="50">
        <f>#N/A</f>
        <v>-194.7</v>
      </c>
      <c r="R25" s="126">
        <f>#N/A</f>
        <v>0</v>
      </c>
    </row>
    <row r="26" spans="1:18" s="6" customFormat="1" ht="46.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>#N/A</f>
        <v>0</v>
      </c>
      <c r="H26" s="35"/>
      <c r="I26" s="50">
        <f>#N/A</f>
        <v>0</v>
      </c>
      <c r="J26" s="50" t="e">
        <f>#N/A</f>
        <v>#DIV/0!</v>
      </c>
      <c r="K26" s="50">
        <f>#N/A</f>
        <v>-194.7</v>
      </c>
      <c r="L26" s="50">
        <f>#N/A</f>
        <v>0</v>
      </c>
      <c r="M26" s="35">
        <f>E26-березень!E26</f>
        <v>0</v>
      </c>
      <c r="N26" s="35">
        <f>F26-березень!F26</f>
        <v>0</v>
      </c>
      <c r="O26" s="47">
        <f>#N/A</f>
        <v>0</v>
      </c>
      <c r="P26" s="50"/>
      <c r="Q26" s="50">
        <f>#N/A</f>
        <v>-194.7</v>
      </c>
      <c r="R26" s="126">
        <f>#N/A</f>
        <v>0</v>
      </c>
    </row>
    <row r="27" spans="1:18" s="6" customFormat="1" ht="61.5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>#N/A</f>
        <v>0</v>
      </c>
      <c r="H27" s="35"/>
      <c r="I27" s="50">
        <f>#N/A</f>
        <v>0</v>
      </c>
      <c r="J27" s="50" t="e">
        <f>#N/A</f>
        <v>#DIV/0!</v>
      </c>
      <c r="K27" s="50">
        <f>#N/A</f>
        <v>-194.7</v>
      </c>
      <c r="L27" s="50">
        <f>#N/A</f>
        <v>0</v>
      </c>
      <c r="M27" s="35">
        <f>E27-березень!E27</f>
        <v>0</v>
      </c>
      <c r="N27" s="35">
        <f>F27-березень!F27</f>
        <v>0</v>
      </c>
      <c r="O27" s="47">
        <f>#N/A</f>
        <v>0</v>
      </c>
      <c r="P27" s="50"/>
      <c r="Q27" s="50">
        <f>#N/A</f>
        <v>-194.7</v>
      </c>
      <c r="R27" s="126">
        <f>#N/A</f>
        <v>0</v>
      </c>
    </row>
    <row r="28" spans="1:18" s="6" customFormat="1" ht="1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>#N/A</f>
        <v>0</v>
      </c>
      <c r="H28" s="35"/>
      <c r="I28" s="50">
        <f>#N/A</f>
        <v>0</v>
      </c>
      <c r="J28" s="50" t="e">
        <f>#N/A</f>
        <v>#DIV/0!</v>
      </c>
      <c r="K28" s="50">
        <f>#N/A</f>
        <v>-194.7</v>
      </c>
      <c r="L28" s="50">
        <f>#N/A</f>
        <v>0</v>
      </c>
      <c r="M28" s="35">
        <f>E28-березень!E28</f>
        <v>0</v>
      </c>
      <c r="N28" s="35">
        <f>F28-березень!F28</f>
        <v>0</v>
      </c>
      <c r="O28" s="47">
        <f>#N/A</f>
        <v>0</v>
      </c>
      <c r="P28" s="50"/>
      <c r="Q28" s="50">
        <f>#N/A</f>
        <v>-194.7</v>
      </c>
      <c r="R28" s="126">
        <f>#N/A</f>
        <v>0</v>
      </c>
    </row>
    <row r="29" spans="1:18" s="6" customFormat="1" ht="1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>#N/A</f>
        <v>-1372.45</v>
      </c>
      <c r="H29" s="137"/>
      <c r="I29" s="136">
        <f>#N/A</f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>#N/A</f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0.7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0.7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>#N/A</f>
        <v>2.8000000000000007</v>
      </c>
      <c r="H31" s="35">
        <f>#N/A</f>
        <v>121.53846153846155</v>
      </c>
      <c r="I31" s="50">
        <f>#N/A</f>
        <v>-3.1999999999999993</v>
      </c>
      <c r="J31" s="50">
        <f>#N/A</f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>#N/A</f>
        <v>0</v>
      </c>
      <c r="P31" s="50" t="e">
        <f>#N/A</f>
        <v>#DIV/0!</v>
      </c>
      <c r="Q31" s="50"/>
      <c r="R31" s="126"/>
    </row>
    <row r="32" spans="1:18" s="6" customFormat="1" ht="46.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>#N/A</f>
        <v>0</v>
      </c>
      <c r="H32" s="35" t="e">
        <f>#N/A</f>
        <v>#DIV/0!</v>
      </c>
      <c r="I32" s="50">
        <f>#N/A</f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>#N/A</f>
        <v>0</v>
      </c>
      <c r="P32" s="50" t="e">
        <f>#N/A</f>
        <v>#DIV/0!</v>
      </c>
      <c r="Q32" s="50"/>
      <c r="R32" s="126"/>
    </row>
    <row r="33" spans="1:18" s="6" customFormat="1" ht="30.7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>#N/A</f>
        <v>0</v>
      </c>
      <c r="H33" s="35" t="e">
        <f>#N/A</f>
        <v>#DIV/0!</v>
      </c>
      <c r="I33" s="50">
        <f>#N/A</f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>#N/A</f>
        <v>0</v>
      </c>
      <c r="P33" s="50" t="e">
        <f>#N/A</f>
        <v>#DIV/0!</v>
      </c>
      <c r="Q33" s="50"/>
      <c r="R33" s="126"/>
    </row>
    <row r="34" spans="1:18" s="6" customFormat="1" ht="46.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>#N/A</f>
        <v>3694.870000000001</v>
      </c>
      <c r="H34" s="35">
        <f>#N/A</f>
        <v>129.17904878482162</v>
      </c>
      <c r="I34" s="50">
        <f>#N/A</f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>#N/A</f>
        <v>3564.3900000000012</v>
      </c>
      <c r="P34" s="50">
        <f>#N/A</f>
        <v>230.91139472959327</v>
      </c>
      <c r="Q34" s="139"/>
      <c r="R34" s="140"/>
    </row>
    <row r="35" spans="1:18" s="6" customFormat="1" ht="1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>#N/A</f>
        <v>9388.64</v>
      </c>
      <c r="H35" s="35">
        <f>#N/A</f>
        <v>115.4150938749374</v>
      </c>
      <c r="I35" s="50">
        <f>#N/A</f>
        <v>-96475.86</v>
      </c>
      <c r="J35" s="178">
        <f>#N/A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>#N/A</f>
        <v>6444.6600000000035</v>
      </c>
      <c r="P35" s="50">
        <f>#N/A</f>
        <v>146.46306910349304</v>
      </c>
      <c r="Q35" s="139"/>
      <c r="R35" s="140"/>
    </row>
    <row r="36" spans="1:18" s="6" customFormat="1" ht="1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>#N/A</f>
        <v>5430.9000000000015</v>
      </c>
      <c r="H36" s="35">
        <f>#N/A</f>
        <v>117.04988541110728</v>
      </c>
      <c r="I36" s="50">
        <f>#N/A</f>
        <v>-60916.1</v>
      </c>
      <c r="J36" s="178">
        <f>#N/A</f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>#N/A</f>
        <v>4607.640000000003</v>
      </c>
      <c r="P36" s="50">
        <f>#N/A</f>
        <v>157.1242251425738</v>
      </c>
      <c r="Q36" s="139"/>
      <c r="R36" s="140"/>
    </row>
    <row r="37" spans="1:18" s="6" customFormat="1" ht="1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>#N/A</f>
        <v>3948.0699999999997</v>
      </c>
      <c r="H37" s="137">
        <f>#N/A</f>
        <v>1556.8523985239851</v>
      </c>
      <c r="I37" s="136">
        <f>#N/A</f>
        <v>3219.0699999999997</v>
      </c>
      <c r="J37" s="136">
        <f>#N/A</f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>#N/A</f>
        <v>3531.79</v>
      </c>
      <c r="P37" s="50">
        <f>#N/A</f>
        <v>2293.6583850931675</v>
      </c>
      <c r="Q37" s="139"/>
      <c r="R37" s="140"/>
    </row>
    <row r="38" spans="1:18" s="6" customFormat="1" ht="1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>#N/A</f>
        <v>-108.28</v>
      </c>
      <c r="H38" s="137"/>
      <c r="I38" s="136">
        <f>#N/A</f>
        <v>-1358.28</v>
      </c>
      <c r="J38" s="136">
        <f>#N/A</f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>#N/A</f>
        <v>-145.98000000000002</v>
      </c>
      <c r="P38" s="50"/>
      <c r="Q38" s="139"/>
      <c r="R38" s="140"/>
    </row>
    <row r="39" spans="1:18" s="6" customFormat="1" ht="1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>#N/A</f>
        <v>1591.1100000000006</v>
      </c>
      <c r="H39" s="137">
        <f>#N/A</f>
        <v>105.07822673305247</v>
      </c>
      <c r="I39" s="136">
        <f>#N/A</f>
        <v>-62776.89</v>
      </c>
      <c r="J39" s="136">
        <f>#N/A</f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>#N/A</f>
        <v>1221.8300000000017</v>
      </c>
      <c r="P39" s="50">
        <f>#N/A</f>
        <v>115.96120182887005</v>
      </c>
      <c r="Q39" s="139"/>
      <c r="R39" s="140"/>
    </row>
    <row r="40" spans="1:18" s="6" customFormat="1" ht="1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>#N/A</f>
        <v>10.66</v>
      </c>
      <c r="H40" s="35">
        <f>#N/A</f>
        <v>185.28</v>
      </c>
      <c r="I40" s="50">
        <f>#N/A</f>
        <v>-46.84</v>
      </c>
      <c r="J40" s="178">
        <f>#N/A</f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>#N/A</f>
        <v>1.0399999999999991</v>
      </c>
      <c r="P40" s="50">
        <f>#N/A</f>
        <v>123.11111111111109</v>
      </c>
      <c r="Q40" s="139"/>
      <c r="R40" s="140"/>
    </row>
    <row r="41" spans="1:18" s="6" customFormat="1" ht="30.7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>#N/A</f>
        <v>-59.24</v>
      </c>
      <c r="H41" s="35"/>
      <c r="I41" s="50">
        <f>#N/A</f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>#N/A</f>
        <v>-72.13</v>
      </c>
      <c r="P41" s="50"/>
      <c r="Q41" s="139"/>
      <c r="R41" s="140"/>
    </row>
    <row r="42" spans="1:18" s="6" customFormat="1" ht="1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>#N/A</f>
        <v>4006.3199999999997</v>
      </c>
      <c r="H42" s="35">
        <f>#N/A</f>
        <v>113.79586776859504</v>
      </c>
      <c r="I42" s="50">
        <f>#N/A</f>
        <v>-35453.68</v>
      </c>
      <c r="J42" s="178">
        <f>#N/A</f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>#N/A</f>
        <v>1908.1100000000006</v>
      </c>
      <c r="P42" s="50">
        <f>#N/A</f>
        <v>132.89844827586208</v>
      </c>
      <c r="Q42" s="139"/>
      <c r="R42" s="140"/>
    </row>
    <row r="43" spans="1:18" s="6" customFormat="1" ht="1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>#N/A</f>
        <v>-1.22</v>
      </c>
      <c r="H43" s="137"/>
      <c r="I43" s="136">
        <f>#N/A</f>
        <v>-1.22</v>
      </c>
      <c r="J43" s="136" t="e">
        <f>#N/A</f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>#N/A</f>
        <v>1542.4099999999999</v>
      </c>
      <c r="H44" s="137"/>
      <c r="I44" s="136">
        <f>#N/A</f>
        <v>-8317.59</v>
      </c>
      <c r="J44" s="136">
        <f>#N/A</f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>#N/A</f>
        <v>2459.3600000000006</v>
      </c>
      <c r="H45" s="137"/>
      <c r="I45" s="136">
        <f>#N/A</f>
        <v>-27140.64</v>
      </c>
      <c r="J45" s="136">
        <f>#N/A</f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>#N/A</f>
        <v>5.75</v>
      </c>
      <c r="H46" s="137"/>
      <c r="I46" s="136">
        <f>#N/A</f>
        <v>5.75</v>
      </c>
      <c r="J46" s="136" t="e">
        <f>#N/A</f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>#N/A</f>
        <v>19.59999999999991</v>
      </c>
      <c r="H47" s="35">
        <f>#N/A</f>
        <v>100.98270243168714</v>
      </c>
      <c r="I47" s="50">
        <f>#N/A</f>
        <v>-5485.9</v>
      </c>
      <c r="J47" s="136">
        <f>#N/A</f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>#N/A</f>
        <v>5.099999999999909</v>
      </c>
      <c r="P47" s="50">
        <f>#N/A</f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>#N/A</f>
        <v>#REF!</v>
      </c>
      <c r="P48" s="50" t="e">
        <f>N48/M48*100</f>
        <v>#REF!</v>
      </c>
      <c r="Q48" s="50"/>
      <c r="R48" s="126"/>
    </row>
    <row r="49" spans="1:18" s="6" customFormat="1" ht="30.7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>#N/A</f>
        <v>#REF!</v>
      </c>
      <c r="P49" s="50" t="e">
        <f>N49/M49*100</f>
        <v>#REF!</v>
      </c>
      <c r="Q49" s="50"/>
      <c r="R49" s="126"/>
    </row>
    <row r="50" spans="1:18" s="6" customFormat="1" ht="30.7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>#N/A</f>
        <v>#REF!</v>
      </c>
      <c r="P50" s="50" t="e">
        <f>F50/M50*100</f>
        <v>#REF!</v>
      </c>
      <c r="Q50" s="50"/>
      <c r="R50" s="126"/>
    </row>
    <row r="51" spans="1:18" s="6" customFormat="1" ht="30.7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1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7.2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>#N/A</f>
        <v>6345.1</v>
      </c>
      <c r="H53" s="45">
        <f>F53/E53*100</f>
        <v>255.19383637030697</v>
      </c>
      <c r="I53" s="31">
        <f>#N/A</f>
        <v>-2133.5</v>
      </c>
      <c r="J53" s="31">
        <f>#N/A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>#N/A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0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>#N/A</f>
        <v>#REF!</v>
      </c>
      <c r="H54" s="35" t="e">
        <f>F54/E54*100</f>
        <v>#REF!</v>
      </c>
      <c r="I54" s="50" t="e">
        <f>#N/A</f>
        <v>#REF!</v>
      </c>
      <c r="J54" s="50" t="e">
        <f>#N/A</f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>#N/A</f>
        <v>#REF!</v>
      </c>
      <c r="P54" s="50" t="e">
        <f>F54/M54*100</f>
        <v>#REF!</v>
      </c>
      <c r="Q54" s="50"/>
      <c r="R54" s="126"/>
    </row>
    <row r="55" spans="1:18" s="6" customFormat="1" ht="1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>#N/A</f>
        <v>0</v>
      </c>
      <c r="H55" s="35" t="e">
        <f>F55/E55*100</f>
        <v>#DIV/0!</v>
      </c>
      <c r="I55" s="50" t="e">
        <f>#N/A</f>
        <v>#REF!</v>
      </c>
      <c r="J55" s="50" t="e">
        <f>#N/A</f>
        <v>#REF!</v>
      </c>
      <c r="K55" s="50"/>
      <c r="L55" s="50"/>
      <c r="M55" s="52"/>
      <c r="N55" s="52"/>
      <c r="O55" s="47">
        <f>#N/A</f>
        <v>0</v>
      </c>
      <c r="P55" s="50" t="e">
        <f>F55/M55*100</f>
        <v>#DIV/0!</v>
      </c>
      <c r="Q55" s="50"/>
      <c r="R55" s="126"/>
    </row>
    <row r="56" spans="1:18" s="6" customFormat="1" ht="46.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>#N/A</f>
        <v>38.980000000000004</v>
      </c>
      <c r="H56" s="35">
        <f>F56/E56*100</f>
        <v>186.62222222222223</v>
      </c>
      <c r="I56" s="50">
        <f>#N/A</f>
        <v>-116.02</v>
      </c>
      <c r="J56" s="50">
        <f>#N/A</f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>#N/A</f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0.7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>#N/A</f>
        <v>0</v>
      </c>
      <c r="H57" s="35"/>
      <c r="I57" s="50">
        <f>#N/A</f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>#N/A</f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>#N/A</f>
        <v>18.24</v>
      </c>
      <c r="H58" s="35"/>
      <c r="I58" s="50">
        <f>#N/A</f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>#N/A</f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0.7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>#N/A</f>
        <v>-1.5</v>
      </c>
      <c r="H59" s="35">
        <f>F59/E59*100</f>
        <v>0</v>
      </c>
      <c r="I59" s="50">
        <f>#N/A</f>
        <v>-6.5</v>
      </c>
      <c r="J59" s="50">
        <f>#N/A</f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>#N/A</f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>#N/A</f>
        <v>4.25</v>
      </c>
      <c r="H60" s="35">
        <f>F60/E60*100</f>
        <v>111.48648648648648</v>
      </c>
      <c r="I60" s="50">
        <f>#N/A</f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>#N/A</f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7.2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>#N/A</f>
        <v>0</v>
      </c>
      <c r="H61" s="35" t="e">
        <f>F61/E61*100</f>
        <v>#DIV/0!</v>
      </c>
      <c r="I61" s="50">
        <f>#N/A</f>
        <v>0</v>
      </c>
      <c r="J61" s="50" t="e">
        <f>#N/A</f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>#N/A</f>
        <v>0</v>
      </c>
      <c r="P61" s="50" t="e">
        <f>N61/M61*100</f>
        <v>#DIV/0!</v>
      </c>
      <c r="Q61" s="50"/>
      <c r="R61" s="126"/>
    </row>
    <row r="62" spans="1:18" s="6" customFormat="1" ht="1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>#N/A</f>
        <v>0</v>
      </c>
      <c r="H62" s="35" t="e">
        <f>F62/E62*100</f>
        <v>#DIV/0!</v>
      </c>
      <c r="I62" s="50">
        <f>#N/A</f>
        <v>0</v>
      </c>
      <c r="J62" s="50" t="e">
        <f>#N/A</f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>#N/A</f>
        <v>0</v>
      </c>
      <c r="P62" s="50" t="e">
        <f>N62/M62*100</f>
        <v>#DIV/0!</v>
      </c>
      <c r="Q62" s="50"/>
      <c r="R62" s="126"/>
    </row>
    <row r="63" spans="1:18" s="6" customFormat="1" ht="1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>#N/A</f>
        <v>0</v>
      </c>
      <c r="H63" s="35" t="e">
        <f>F63/E63*100</f>
        <v>#DIV/0!</v>
      </c>
      <c r="I63" s="50">
        <f>#N/A</f>
        <v>0</v>
      </c>
      <c r="J63" s="50" t="e">
        <f>#N/A</f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>#N/A</f>
        <v>0</v>
      </c>
      <c r="P63" s="50" t="e">
        <f>N63/M63*100</f>
        <v>#DIV/0!</v>
      </c>
      <c r="Q63" s="50"/>
      <c r="R63" s="126"/>
    </row>
    <row r="64" spans="1:18" s="6" customFormat="1" ht="30.7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>#N/A</f>
        <v>0</v>
      </c>
      <c r="H64" s="35"/>
      <c r="I64" s="50">
        <f>#N/A</f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>#N/A</f>
        <v>0</v>
      </c>
      <c r="P64" s="50"/>
      <c r="Q64" s="50"/>
      <c r="R64" s="126"/>
    </row>
    <row r="65" spans="1:18" s="6" customFormat="1" ht="46.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>#N/A</f>
        <v>0</v>
      </c>
      <c r="H65" s="35"/>
      <c r="I65" s="50">
        <f>#N/A</f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>#N/A</f>
        <v>0</v>
      </c>
      <c r="P65" s="50"/>
      <c r="Q65" s="50"/>
      <c r="R65" s="126"/>
    </row>
    <row r="66" spans="1:18" s="6" customFormat="1" ht="46.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>#N/A</f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0.7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>#N/A</f>
        <v>253.73999999999978</v>
      </c>
      <c r="H68" s="35">
        <f>F68/E68*100</f>
        <v>110.48512396694214</v>
      </c>
      <c r="I68" s="50">
        <f>#N/A</f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>#N/A</f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>#N/A</f>
        <v>2521.1</v>
      </c>
      <c r="H69" s="35">
        <f>F69/E69*100</f>
        <v>913.258064516129</v>
      </c>
      <c r="I69" s="50">
        <f>#N/A</f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>#N/A</f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6.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>#N/A</f>
        <v>0</v>
      </c>
      <c r="H70" s="35"/>
      <c r="I70" s="50">
        <f>#N/A</f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>#N/A</f>
        <v>0</v>
      </c>
      <c r="P70" s="50"/>
      <c r="Q70" s="50">
        <f>N70-0</f>
        <v>0</v>
      </c>
      <c r="R70" s="126"/>
    </row>
    <row r="71" spans="1:18" s="6" customFormat="1" ht="1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>#N/A</f>
        <v>0</v>
      </c>
      <c r="H71" s="35" t="e">
        <f>F71/E71*100</f>
        <v>#DIV/0!</v>
      </c>
      <c r="I71" s="50">
        <f>#N/A</f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>#N/A</f>
        <v>0</v>
      </c>
      <c r="P71" s="50" t="e">
        <f>#N/A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>#N/A</f>
        <v>165.76</v>
      </c>
      <c r="H72" s="35">
        <f>F72/E72*100</f>
        <v>113.05196850393702</v>
      </c>
      <c r="I72" s="50">
        <f>#N/A</f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>#N/A</f>
        <v>155.28999999999996</v>
      </c>
      <c r="P72" s="50">
        <f>#N/A</f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>#N/A</f>
        <v>0</v>
      </c>
      <c r="H73" s="35" t="e">
        <f>F73/E73*100</f>
        <v>#DIV/0!</v>
      </c>
      <c r="I73" s="50">
        <f>#N/A</f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>#N/A</f>
        <v>0</v>
      </c>
      <c r="P73" s="50" t="e">
        <f>#N/A</f>
        <v>#DIV/0!</v>
      </c>
      <c r="Q73" s="50"/>
      <c r="R73" s="126">
        <f>N73/277.38</f>
        <v>0</v>
      </c>
    </row>
    <row r="74" spans="1:18" s="6" customFormat="1" ht="1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>#N/A</f>
        <v>0</v>
      </c>
      <c r="H74" s="35" t="e">
        <f>F74/E74*100</f>
        <v>#DIV/0!</v>
      </c>
      <c r="I74" s="50">
        <f>#N/A</f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>#N/A</f>
        <v>0</v>
      </c>
      <c r="P74" s="50" t="e">
        <f>#N/A</f>
        <v>#DIV/0!</v>
      </c>
      <c r="Q74" s="50"/>
      <c r="R74" s="126">
        <f>N74/277.38</f>
        <v>0</v>
      </c>
    </row>
    <row r="75" spans="1:18" s="6" customFormat="1" ht="30.75">
      <c r="A75" s="8"/>
      <c r="B75" s="69" t="s">
        <v>127</v>
      </c>
      <c r="C75" s="83"/>
      <c r="D75" s="135"/>
      <c r="E75" s="135"/>
      <c r="F75" s="190">
        <v>313.7</v>
      </c>
      <c r="G75" s="135">
        <f>#N/A</f>
        <v>313.7</v>
      </c>
      <c r="H75" s="137"/>
      <c r="I75" s="136">
        <f>#N/A</f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>#N/A</f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>#N/A</f>
        <v>-5</v>
      </c>
      <c r="H76" s="35"/>
      <c r="I76" s="50">
        <f>#N/A</f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>#N/A</f>
        <v>0</v>
      </c>
      <c r="P76" s="50"/>
      <c r="Q76" s="50"/>
      <c r="R76" s="126"/>
    </row>
    <row r="77" spans="1:18" s="6" customFormat="1" ht="30.7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>#N/A</f>
        <v>-1.8800000000000008</v>
      </c>
      <c r="H77" s="35">
        <f>F77/E77*100</f>
        <v>77.6190476190476</v>
      </c>
      <c r="I77" s="50">
        <f>#N/A</f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>#N/A</f>
        <v>-1.7800000000000002</v>
      </c>
      <c r="P77" s="50">
        <f>#N/A</f>
        <v>19.090909090909086</v>
      </c>
      <c r="Q77" s="50"/>
      <c r="R77" s="126"/>
    </row>
    <row r="78" spans="1:18" s="6" customFormat="1" ht="30.7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>#N/A</f>
        <v>0.02</v>
      </c>
      <c r="H78" s="35"/>
      <c r="I78" s="50">
        <f>#N/A</f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>#N/A</f>
        <v>0</v>
      </c>
      <c r="P78" s="50"/>
      <c r="Q78" s="50"/>
      <c r="R78" s="126"/>
    </row>
    <row r="79" spans="1:22" s="6" customFormat="1" ht="17.2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7.2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7.2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6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0.7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>#N/A</f>
        <v>-14.65</v>
      </c>
      <c r="H85" s="35"/>
      <c r="I85" s="53">
        <f>#N/A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>#N/A</f>
        <v>0</v>
      </c>
      <c r="P85" s="53"/>
      <c r="Q85" s="53">
        <f>N85-24.53</f>
        <v>-24.53</v>
      </c>
      <c r="R85" s="129">
        <f>N85/24.53</f>
        <v>0</v>
      </c>
    </row>
    <row r="86" spans="2:18" ht="1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>#N/A</f>
        <v>-5.9</v>
      </c>
      <c r="H86" s="65"/>
      <c r="I86" s="54">
        <f>#N/A</f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>#N/A</f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6.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>#N/A</f>
        <v>0</v>
      </c>
      <c r="H87" s="35" t="e">
        <f>#N/A</f>
        <v>#DIV/0!</v>
      </c>
      <c r="I87" s="53">
        <f>#N/A</f>
        <v>0</v>
      </c>
      <c r="J87" s="53" t="e">
        <f>#N/A</f>
        <v>#DIV/0!</v>
      </c>
      <c r="K87" s="53"/>
      <c r="L87" s="53"/>
      <c r="M87" s="36">
        <v>0</v>
      </c>
      <c r="N87" s="36">
        <f>F87</f>
        <v>0</v>
      </c>
      <c r="O87" s="47">
        <f>#N/A</f>
        <v>0</v>
      </c>
      <c r="P87" s="53"/>
      <c r="Q87" s="53"/>
      <c r="R87" s="129"/>
    </row>
    <row r="88" spans="2:18" ht="30.7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>#N/A</f>
        <v>21.72</v>
      </c>
      <c r="H88" s="35"/>
      <c r="I88" s="53">
        <f>#N/A</f>
        <v>-2408.28</v>
      </c>
      <c r="J88" s="53">
        <f>#N/A</f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>#N/A</f>
        <v>-11.75</v>
      </c>
      <c r="P88" s="53"/>
      <c r="Q88" s="53">
        <f>N88-0.04</f>
        <v>58.21</v>
      </c>
      <c r="R88" s="129">
        <f>N88/0.04</f>
        <v>1456.25</v>
      </c>
    </row>
    <row r="89" spans="2:18" ht="1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>#N/A</f>
        <v>439.0799999999999</v>
      </c>
      <c r="H89" s="35">
        <f>#N/A</f>
        <v>129.2919185045831</v>
      </c>
      <c r="I89" s="53">
        <f>#N/A</f>
        <v>-9637.94</v>
      </c>
      <c r="J89" s="53">
        <f>#N/A</f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>#N/A</f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0.7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>#N/A</f>
        <v>-410.16</v>
      </c>
      <c r="H90" s="35">
        <f>#N/A</f>
        <v>7.683997299122216</v>
      </c>
      <c r="I90" s="53">
        <f>#N/A</f>
        <v>-2965.86</v>
      </c>
      <c r="J90" s="53">
        <f>#N/A</f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>#N/A</f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3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>#N/A</f>
        <v>50.6400000000001</v>
      </c>
      <c r="H91" s="65">
        <f>#N/A</f>
        <v>102.51529841850116</v>
      </c>
      <c r="I91" s="54">
        <f>#N/A</f>
        <v>-15012.08</v>
      </c>
      <c r="J91" s="54">
        <f>#N/A</f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>#N/A</f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6.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>#N/A</f>
        <v>-9</v>
      </c>
      <c r="H92" s="35"/>
      <c r="I92" s="53">
        <f>#N/A</f>
        <v>-35</v>
      </c>
      <c r="J92" s="53">
        <f>#N/A</f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>#N/A</f>
        <v>-5</v>
      </c>
      <c r="P92" s="53"/>
      <c r="Q92" s="53">
        <f>N92-0.16</f>
        <v>-0.16</v>
      </c>
      <c r="R92" s="129">
        <f>N92/0.16</f>
        <v>0</v>
      </c>
    </row>
    <row r="93" spans="2:18" ht="1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>#N/A</f>
        <v>0</v>
      </c>
      <c r="H93" s="35" t="e">
        <f>#N/A</f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>#N/A</f>
        <v>0</v>
      </c>
      <c r="P93" s="56"/>
      <c r="Q93" s="56"/>
      <c r="R93" s="131"/>
    </row>
    <row r="94" spans="2:18" ht="1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0.7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0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0.7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7.2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">
      <c r="B101" s="23" t="s">
        <v>117</v>
      </c>
      <c r="N101" s="29"/>
    </row>
    <row r="102" spans="2:4" ht="15">
      <c r="B102" s="4" t="s">
        <v>119</v>
      </c>
      <c r="C102" s="101">
        <v>0</v>
      </c>
      <c r="D102" s="4" t="s">
        <v>118</v>
      </c>
    </row>
    <row r="103" spans="2:17" ht="30.75">
      <c r="B103" s="71" t="s">
        <v>154</v>
      </c>
      <c r="C103" s="34">
        <f>IF(O79&lt;0,ABS(O79/C102),0)</f>
        <v>0</v>
      </c>
      <c r="D103" s="4" t="s">
        <v>104</v>
      </c>
      <c r="G103" s="266"/>
      <c r="H103" s="266"/>
      <c r="I103" s="266"/>
      <c r="J103" s="266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63"/>
      <c r="O104" s="263"/>
    </row>
    <row r="105" spans="3:15" ht="15">
      <c r="C105" s="111">
        <v>42123</v>
      </c>
      <c r="D105" s="34">
        <v>7959.6</v>
      </c>
      <c r="F105" s="201" t="s">
        <v>166</v>
      </c>
      <c r="G105" s="261"/>
      <c r="H105" s="261"/>
      <c r="I105" s="177"/>
      <c r="J105" s="265"/>
      <c r="K105" s="265"/>
      <c r="L105" s="265"/>
      <c r="M105" s="265"/>
      <c r="N105" s="263"/>
      <c r="O105" s="263"/>
    </row>
    <row r="106" spans="3:15" ht="15.75" customHeight="1">
      <c r="C106" s="111">
        <v>42122</v>
      </c>
      <c r="D106" s="34">
        <v>4962.7</v>
      </c>
      <c r="G106" s="277" t="s">
        <v>151</v>
      </c>
      <c r="H106" s="277"/>
      <c r="I106" s="106">
        <v>8909.73221</v>
      </c>
      <c r="J106" s="262"/>
      <c r="K106" s="262"/>
      <c r="L106" s="262"/>
      <c r="M106" s="262"/>
      <c r="N106" s="263"/>
      <c r="O106" s="263"/>
    </row>
    <row r="107" spans="7:13" ht="15.75" customHeight="1">
      <c r="G107" s="278" t="s">
        <v>234</v>
      </c>
      <c r="H107" s="279"/>
      <c r="I107" s="103">
        <v>0</v>
      </c>
      <c r="J107" s="265"/>
      <c r="K107" s="265"/>
      <c r="L107" s="265"/>
      <c r="M107" s="265"/>
    </row>
    <row r="108" spans="2:13" ht="18.75" customHeight="1">
      <c r="B108" s="270" t="s">
        <v>160</v>
      </c>
      <c r="C108" s="271"/>
      <c r="D108" s="108">
        <v>154856.06924</v>
      </c>
      <c r="E108" s="73"/>
      <c r="F108" s="202" t="s">
        <v>147</v>
      </c>
      <c r="G108" s="277" t="s">
        <v>149</v>
      </c>
      <c r="H108" s="277"/>
      <c r="I108" s="107">
        <v>145946.33703</v>
      </c>
      <c r="J108" s="265"/>
      <c r="K108" s="265"/>
      <c r="L108" s="265"/>
      <c r="M108" s="265"/>
    </row>
    <row r="109" spans="7:12" ht="9.75" customHeight="1">
      <c r="G109" s="261"/>
      <c r="H109" s="261"/>
      <c r="I109" s="90"/>
      <c r="J109" s="91"/>
      <c r="K109" s="91"/>
      <c r="L109" s="91"/>
    </row>
    <row r="110" spans="2:12" ht="22.5" customHeight="1" hidden="1">
      <c r="B110" s="267" t="s">
        <v>167</v>
      </c>
      <c r="C110" s="268"/>
      <c r="D110" s="110">
        <v>0</v>
      </c>
      <c r="E110" s="70" t="s">
        <v>104</v>
      </c>
      <c r="G110" s="261"/>
      <c r="H110" s="261"/>
      <c r="I110" s="90"/>
      <c r="J110" s="91"/>
      <c r="K110" s="91"/>
      <c r="L110" s="91"/>
    </row>
    <row r="111" spans="4:15" ht="15">
      <c r="D111" s="105"/>
      <c r="N111" s="261"/>
      <c r="O111" s="261"/>
    </row>
    <row r="112" spans="4:15" ht="15">
      <c r="D112" s="104"/>
      <c r="I112" s="34"/>
      <c r="N112" s="269"/>
      <c r="O112" s="269"/>
    </row>
    <row r="113" spans="14:15" ht="15">
      <c r="N113" s="261"/>
      <c r="O113" s="261"/>
    </row>
    <row r="117" ht="15">
      <c r="E117" s="4" t="s">
        <v>166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103:J103"/>
    <mergeCell ref="N104:O104"/>
    <mergeCell ref="G105:H105"/>
    <mergeCell ref="J105:M105"/>
    <mergeCell ref="N105:O105"/>
    <mergeCell ref="J4:J5"/>
    <mergeCell ref="N4:N5"/>
    <mergeCell ref="O4:O5"/>
    <mergeCell ref="K5:L5"/>
    <mergeCell ref="G106:H106"/>
    <mergeCell ref="J106:M106"/>
    <mergeCell ref="N106:O106"/>
    <mergeCell ref="G107:H107"/>
    <mergeCell ref="J107:M107"/>
    <mergeCell ref="B108:C108"/>
    <mergeCell ref="G108:H108"/>
    <mergeCell ref="J108:M108"/>
    <mergeCell ref="G109:H109"/>
    <mergeCell ref="N113:O113"/>
    <mergeCell ref="B110:C110"/>
    <mergeCell ref="G110:H110"/>
    <mergeCell ref="N111:O111"/>
    <mergeCell ref="N112:O112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2016-01-04T09:07:53Z</cp:lastPrinted>
  <dcterms:created xsi:type="dcterms:W3CDTF">2003-07-28T11:27:56Z</dcterms:created>
  <dcterms:modified xsi:type="dcterms:W3CDTF">2016-01-04T09:35:36Z</dcterms:modified>
  <cp:category/>
  <cp:version/>
  <cp:contentType/>
  <cp:contentStatus/>
</cp:coreProperties>
</file>